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20" windowHeight="12585" tabRatio="922"/>
  </bookViews>
  <sheets>
    <sheet name="Ált. Tájékoztató" sheetId="45" r:id="rId1"/>
    <sheet name="Főösszesítő" sheetId="33" r:id="rId2"/>
    <sheet name="1.1.1." sheetId="1" r:id="rId3"/>
    <sheet name="1.1.2." sheetId="4" r:id="rId4"/>
    <sheet name="1.1.3." sheetId="6" r:id="rId5"/>
    <sheet name="1.2.1." sheetId="37" r:id="rId6"/>
    <sheet name="1.2.2." sheetId="38" r:id="rId7"/>
    <sheet name="1.3." sheetId="10" r:id="rId8"/>
    <sheet name="1.4." sheetId="41" r:id="rId9"/>
    <sheet name="2.1." sheetId="12" r:id="rId10"/>
    <sheet name="2.2." sheetId="16" r:id="rId11"/>
    <sheet name="3.1.1." sheetId="17" r:id="rId12"/>
    <sheet name="3.1.2." sheetId="18" r:id="rId13"/>
    <sheet name="3.1.3." sheetId="24" r:id="rId14"/>
    <sheet name="3.1.4." sheetId="20" r:id="rId15"/>
    <sheet name="3.2." sheetId="21" r:id="rId16"/>
    <sheet name="3.3." sheetId="22" r:id="rId17"/>
    <sheet name="3.4." sheetId="28" r:id="rId18"/>
    <sheet name="3.5." sheetId="30" r:id="rId19"/>
    <sheet name="3.6." sheetId="35" r:id="rId20"/>
    <sheet name="4.1." sheetId="25" r:id="rId21"/>
    <sheet name="4.2." sheetId="11" r:id="rId22"/>
    <sheet name="4.3." sheetId="27" r:id="rId23"/>
    <sheet name="4.4." sheetId="26" r:id="rId24"/>
    <sheet name="5.1." sheetId="29" r:id="rId25"/>
    <sheet name="5.2." sheetId="42" r:id="rId26"/>
    <sheet name="6." sheetId="34" r:id="rId27"/>
    <sheet name="7.1." sheetId="32" r:id="rId28"/>
    <sheet name="7.2." sheetId="43" r:id="rId29"/>
    <sheet name="8." sheetId="31" r:id="rId30"/>
  </sheets>
  <definedNames>
    <definedName name="_xlnm.Print_Area" localSheetId="0">'Ált. Tájékoztató'!$A$4:$R$52</definedName>
  </definedNames>
  <calcPr calcId="145621"/>
</workbook>
</file>

<file path=xl/calcChain.xml><?xml version="1.0" encoding="utf-8"?>
<calcChain xmlns="http://schemas.openxmlformats.org/spreadsheetml/2006/main">
  <c r="A7" i="43" l="1"/>
  <c r="A8" i="43" s="1"/>
  <c r="A9" i="43" s="1"/>
  <c r="A10" i="43" s="1"/>
  <c r="A11" i="43" s="1"/>
  <c r="A12" i="43" s="1"/>
  <c r="A6" i="42"/>
  <c r="C35" i="1"/>
  <c r="A66" i="1"/>
  <c r="C74" i="41"/>
  <c r="A69" i="41"/>
  <c r="A70" i="41" s="1"/>
  <c r="A71" i="41" s="1"/>
  <c r="A72" i="41" s="1"/>
  <c r="A73" i="41" s="1"/>
  <c r="A74" i="41" s="1"/>
  <c r="A47" i="41"/>
  <c r="A48" i="41" s="1"/>
  <c r="A49" i="41" s="1"/>
  <c r="A50" i="41" s="1"/>
  <c r="A51" i="41" s="1"/>
  <c r="A52" i="41" s="1"/>
  <c r="A53" i="41" s="1"/>
  <c r="A54" i="41" s="1"/>
  <c r="A55" i="41" s="1"/>
  <c r="A56" i="41" s="1"/>
  <c r="A57" i="41" s="1"/>
  <c r="A58" i="41" s="1"/>
  <c r="A59" i="41" s="1"/>
  <c r="A60" i="41" s="1"/>
  <c r="A61" i="41" s="1"/>
  <c r="A62" i="41" s="1"/>
  <c r="A63" i="41" s="1"/>
  <c r="A64" i="41" s="1"/>
  <c r="A65" i="41" s="1"/>
  <c r="A66" i="41" s="1"/>
  <c r="A42" i="41"/>
  <c r="A43" i="41" s="1"/>
  <c r="A44" i="41" s="1"/>
  <c r="C39" i="41"/>
  <c r="A34" i="41"/>
  <c r="A35" i="41" s="1"/>
  <c r="A36" i="41" s="1"/>
  <c r="A37" i="41" s="1"/>
  <c r="A38" i="41" s="1"/>
  <c r="A39" i="41" s="1"/>
  <c r="A12" i="41"/>
  <c r="A13" i="41" s="1"/>
  <c r="A14" i="41" s="1"/>
  <c r="A15" i="41" s="1"/>
  <c r="A16" i="41" s="1"/>
  <c r="A17" i="41" s="1"/>
  <c r="A18" i="41" s="1"/>
  <c r="A19" i="41" s="1"/>
  <c r="A20" i="41" s="1"/>
  <c r="A21" i="41" s="1"/>
  <c r="A22" i="41" s="1"/>
  <c r="A23" i="41" s="1"/>
  <c r="A24" i="41" s="1"/>
  <c r="A25" i="41" s="1"/>
  <c r="A26" i="41" s="1"/>
  <c r="A27" i="41" s="1"/>
  <c r="A28" i="41" s="1"/>
  <c r="A29" i="41" s="1"/>
  <c r="A30" i="41" s="1"/>
  <c r="A31" i="41" s="1"/>
  <c r="C8" i="41"/>
  <c r="A7" i="41"/>
  <c r="A8" i="41" s="1"/>
  <c r="A9" i="41" s="1"/>
  <c r="C108" i="38"/>
  <c r="A100" i="38"/>
  <c r="A101" i="38" s="1"/>
  <c r="A102" i="38" s="1"/>
  <c r="A103" i="38" s="1"/>
  <c r="A104" i="38" s="1"/>
  <c r="A105" i="38" s="1"/>
  <c r="A106" i="38" s="1"/>
  <c r="A107" i="38" s="1"/>
  <c r="A86" i="38"/>
  <c r="A87" i="38" s="1"/>
  <c r="A88" i="38" s="1"/>
  <c r="A89" i="38" s="1"/>
  <c r="A90" i="38" s="1"/>
  <c r="A91" i="38" s="1"/>
  <c r="A92" i="38" s="1"/>
  <c r="A93" i="38" s="1"/>
  <c r="A94" i="38" s="1"/>
  <c r="A95" i="38" s="1"/>
  <c r="A96" i="38" s="1"/>
  <c r="A85" i="38"/>
  <c r="C81" i="38"/>
  <c r="A69" i="38"/>
  <c r="A70" i="38" s="1"/>
  <c r="A71" i="38" s="1"/>
  <c r="A72" i="38" s="1"/>
  <c r="A73" i="38" s="1"/>
  <c r="A74" i="38" s="1"/>
  <c r="A75" i="38" s="1"/>
  <c r="A76" i="38" s="1"/>
  <c r="A77" i="38" s="1"/>
  <c r="A78" i="38" s="1"/>
  <c r="A79" i="38" s="1"/>
  <c r="A80" i="38" s="1"/>
  <c r="A56" i="38"/>
  <c r="A57" i="38" s="1"/>
  <c r="A58" i="38" s="1"/>
  <c r="A59" i="38" s="1"/>
  <c r="A60" i="38" s="1"/>
  <c r="A61" i="38" s="1"/>
  <c r="A62" i="38" s="1"/>
  <c r="A63" i="38" s="1"/>
  <c r="A64" i="38" s="1"/>
  <c r="A65" i="38" s="1"/>
  <c r="A66" i="38" s="1"/>
  <c r="A55" i="38"/>
  <c r="C51" i="38"/>
  <c r="A39" i="38"/>
  <c r="A40" i="38" s="1"/>
  <c r="A41" i="38" s="1"/>
  <c r="A42" i="38" s="1"/>
  <c r="A43" i="38" s="1"/>
  <c r="A44" i="38" s="1"/>
  <c r="A45" i="38" s="1"/>
  <c r="A46" i="38" s="1"/>
  <c r="A47" i="38" s="1"/>
  <c r="A48" i="38" s="1"/>
  <c r="A49" i="38" s="1"/>
  <c r="A50" i="38" s="1"/>
  <c r="A24" i="38"/>
  <c r="A25" i="38" s="1"/>
  <c r="A26" i="38" s="1"/>
  <c r="A27" i="38" s="1"/>
  <c r="A28" i="38" s="1"/>
  <c r="A29" i="38" s="1"/>
  <c r="A30" i="38" s="1"/>
  <c r="A31" i="38" s="1"/>
  <c r="A32" i="38" s="1"/>
  <c r="A33" i="38" s="1"/>
  <c r="A34" i="38" s="1"/>
  <c r="A35" i="38" s="1"/>
  <c r="C20" i="38"/>
  <c r="A8" i="38"/>
  <c r="A9" i="38" s="1"/>
  <c r="A10" i="38" s="1"/>
  <c r="A11" i="38" s="1"/>
  <c r="A12" i="38" s="1"/>
  <c r="A13" i="38" s="1"/>
  <c r="A14" i="38" s="1"/>
  <c r="A15" i="38" s="1"/>
  <c r="A16" i="38" s="1"/>
  <c r="A17" i="38" s="1"/>
  <c r="A18" i="38" s="1"/>
  <c r="A19" i="38" s="1"/>
  <c r="A39" i="37"/>
  <c r="A40" i="37" s="1"/>
  <c r="A41" i="37" s="1"/>
  <c r="A42" i="37" s="1"/>
  <c r="C33" i="37"/>
  <c r="C30" i="37"/>
  <c r="A16" i="37"/>
  <c r="A17" i="37" s="1"/>
  <c r="A18" i="37" s="1"/>
  <c r="A19" i="37" s="1"/>
  <c r="A20" i="37" s="1"/>
  <c r="A21" i="37" s="1"/>
  <c r="A22" i="37" s="1"/>
  <c r="A23" i="37" s="1"/>
  <c r="A24" i="37" s="1"/>
  <c r="A25" i="37" s="1"/>
  <c r="A26" i="37" s="1"/>
  <c r="A27" i="37" s="1"/>
  <c r="A28" i="37" s="1"/>
  <c r="A29" i="37" s="1"/>
  <c r="A30" i="37" s="1"/>
  <c r="A31" i="37" s="1"/>
  <c r="A32" i="37" s="1"/>
  <c r="A33" i="37" s="1"/>
  <c r="A34" i="37" s="1"/>
  <c r="A11" i="37"/>
  <c r="A12" i="37" s="1"/>
  <c r="A19" i="21"/>
  <c r="A20" i="21" s="1"/>
  <c r="A21" i="21" s="1"/>
  <c r="A22" i="21" s="1"/>
  <c r="C34" i="10"/>
  <c r="C14" i="10"/>
  <c r="C15" i="10" s="1"/>
  <c r="C13" i="10"/>
  <c r="C12" i="10"/>
  <c r="C31" i="1"/>
  <c r="C9" i="30" l="1"/>
  <c r="C5" i="30"/>
  <c r="C7" i="30"/>
  <c r="C8" i="30"/>
  <c r="A6" i="30"/>
  <c r="A8" i="30" s="1"/>
  <c r="A7" i="30" s="1"/>
  <c r="C6" i="30"/>
  <c r="A135" i="18"/>
  <c r="C47" i="10"/>
  <c r="A44" i="10"/>
  <c r="A45" i="10" s="1"/>
  <c r="A46" i="10" s="1"/>
  <c r="A47" i="10" s="1"/>
  <c r="A48" i="10" s="1"/>
  <c r="A49" i="10" s="1"/>
  <c r="A38" i="10"/>
  <c r="A39" i="10" s="1"/>
  <c r="A40" i="10" s="1"/>
  <c r="C32" i="10"/>
  <c r="C33" i="10" s="1"/>
  <c r="C30" i="10"/>
  <c r="C26" i="10"/>
  <c r="A25" i="10"/>
  <c r="A26" i="10" s="1"/>
  <c r="A27" i="10" s="1"/>
  <c r="A30" i="10" s="1"/>
  <c r="A31" i="10" s="1"/>
  <c r="A32" i="10" s="1"/>
  <c r="A33" i="10" s="1"/>
  <c r="A38" i="21"/>
  <c r="A39" i="21" s="1"/>
  <c r="A40" i="21" s="1"/>
  <c r="A41" i="21" s="1"/>
  <c r="A34" i="21"/>
  <c r="A35" i="21" s="1"/>
  <c r="A23" i="21" s="1"/>
  <c r="A24" i="21" s="1"/>
  <c r="A25" i="21" s="1"/>
  <c r="A26" i="21" s="1"/>
  <c r="A27" i="21" s="1"/>
  <c r="A7" i="21"/>
  <c r="A8" i="21" s="1"/>
  <c r="A9" i="21" s="1"/>
  <c r="A10" i="21" s="1"/>
  <c r="A11" i="21" s="1"/>
  <c r="A12" i="21" s="1"/>
  <c r="A13" i="21" s="1"/>
  <c r="A19" i="12"/>
  <c r="A20" i="12" s="1"/>
  <c r="A21" i="12" s="1"/>
  <c r="A22" i="12" s="1"/>
  <c r="A23" i="12" s="1"/>
  <c r="A24" i="12" s="1"/>
  <c r="A25" i="12" s="1"/>
  <c r="A26" i="12" s="1"/>
  <c r="A27" i="12" s="1"/>
  <c r="A28" i="12" s="1"/>
  <c r="A29" i="12" s="1"/>
  <c r="A30" i="12" s="1"/>
  <c r="A7" i="12"/>
  <c r="A8" i="12" s="1"/>
  <c r="A9" i="12" s="1"/>
  <c r="A10" i="12" s="1"/>
  <c r="A11" i="12" s="1"/>
  <c r="A12" i="12" s="1"/>
  <c r="A13" i="12" s="1"/>
  <c r="A14" i="12" s="1"/>
  <c r="A15" i="12" s="1"/>
  <c r="A16" i="12" s="1"/>
  <c r="C48" i="28"/>
  <c r="C10" i="28"/>
  <c r="A51" i="28"/>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C69" i="28"/>
  <c r="C68" i="28"/>
  <c r="C67" i="28"/>
  <c r="C66" i="28"/>
  <c r="C65" i="28"/>
  <c r="C62" i="28"/>
  <c r="C61" i="28"/>
  <c r="C59" i="28"/>
  <c r="C58" i="28"/>
  <c r="C57" i="28"/>
  <c r="C56" i="28"/>
  <c r="C55" i="28"/>
  <c r="C54" i="28"/>
  <c r="C53" i="28"/>
  <c r="C52" i="28"/>
  <c r="C51" i="28"/>
  <c r="C50" i="28"/>
  <c r="A40" i="28"/>
  <c r="A41" i="28" s="1"/>
  <c r="A42" i="28" s="1"/>
  <c r="A43" i="28" s="1"/>
  <c r="A44" i="28" s="1"/>
  <c r="A45" i="28" s="1"/>
  <c r="A46" i="28" s="1"/>
  <c r="A47" i="28" s="1"/>
  <c r="A48" i="28" s="1"/>
  <c r="C47" i="28"/>
  <c r="C46" i="28"/>
  <c r="C45" i="28"/>
  <c r="C44" i="28"/>
  <c r="C43" i="28"/>
  <c r="C42" i="28"/>
  <c r="C41" i="28"/>
  <c r="C40" i="28"/>
  <c r="C39" i="28"/>
  <c r="C70" i="28" l="1"/>
  <c r="C27" i="10"/>
  <c r="A9" i="30"/>
  <c r="A34" i="10"/>
  <c r="A35" i="10" s="1"/>
  <c r="A25" i="28"/>
  <c r="A26" i="28" s="1"/>
  <c r="A27" i="28" s="1"/>
  <c r="A28" i="28" s="1"/>
  <c r="A29" i="28" s="1"/>
  <c r="A30" i="28" s="1"/>
  <c r="A31" i="28" s="1"/>
  <c r="A32" i="28" s="1"/>
  <c r="A33" i="28" s="1"/>
  <c r="A34" i="28" s="1"/>
  <c r="A35" i="28" s="1"/>
  <c r="A36" i="28" s="1"/>
  <c r="A37" i="28" s="1"/>
  <c r="C36" i="28"/>
  <c r="C35" i="28"/>
  <c r="C34" i="28"/>
  <c r="C33" i="28"/>
  <c r="C32" i="28"/>
  <c r="C31" i="28"/>
  <c r="C30" i="28"/>
  <c r="C29" i="28"/>
  <c r="C28" i="28"/>
  <c r="C27" i="28"/>
  <c r="C26" i="28"/>
  <c r="C25" i="28"/>
  <c r="C24" i="28"/>
  <c r="A19" i="28"/>
  <c r="A20" i="28" s="1"/>
  <c r="A21" i="28" s="1"/>
  <c r="A22" i="28" s="1"/>
  <c r="A13" i="28"/>
  <c r="A14" i="28" s="1"/>
  <c r="A15" i="28" s="1"/>
  <c r="A16" i="28" s="1"/>
  <c r="A9" i="28"/>
  <c r="A10" i="28" s="1"/>
  <c r="C37" i="28" l="1"/>
  <c r="C21" i="28"/>
  <c r="C20" i="28"/>
  <c r="C19" i="28"/>
  <c r="C18" i="28"/>
  <c r="C15" i="28"/>
  <c r="C14" i="28"/>
  <c r="C13" i="28"/>
  <c r="C12" i="28"/>
  <c r="C22" i="28" l="1"/>
  <c r="C16" i="28"/>
  <c r="A52" i="4"/>
  <c r="A53" i="4" s="1"/>
  <c r="A54" i="4" s="1"/>
  <c r="A55" i="4" s="1"/>
  <c r="A56" i="4" s="1"/>
  <c r="C16" i="10"/>
  <c r="C9" i="10"/>
  <c r="C7" i="10"/>
  <c r="A7" i="10"/>
  <c r="A8" i="10" s="1"/>
  <c r="A7" i="24"/>
  <c r="A8" i="24" s="1"/>
  <c r="A9" i="24" s="1"/>
  <c r="A10" i="24" s="1"/>
  <c r="A11" i="24" s="1"/>
  <c r="A12" i="24" s="1"/>
  <c r="A13" i="24" s="1"/>
  <c r="A14" i="24" s="1"/>
  <c r="A15" i="24" s="1"/>
  <c r="A16" i="24" s="1"/>
  <c r="A17" i="24" s="1"/>
  <c r="A18" i="24" s="1"/>
  <c r="A19" i="24" s="1"/>
  <c r="A20" i="24" s="1"/>
  <c r="A21" i="24" s="1"/>
  <c r="A22" i="24" s="1"/>
  <c r="A23" i="24" s="1"/>
  <c r="A12" i="20"/>
  <c r="A13" i="20" s="1"/>
  <c r="A14" i="20" s="1"/>
  <c r="A17" i="20" s="1"/>
  <c r="A22" i="20" s="1"/>
  <c r="A23" i="20" s="1"/>
  <c r="A26" i="20" s="1"/>
  <c r="A29" i="20" s="1"/>
  <c r="A30" i="20" s="1"/>
  <c r="A8" i="20"/>
  <c r="A9" i="20" s="1"/>
  <c r="C38" i="1"/>
  <c r="C41" i="1"/>
  <c r="A7" i="4"/>
  <c r="A6" i="16"/>
  <c r="A7" i="16" s="1"/>
  <c r="A8" i="16" s="1"/>
  <c r="A9" i="16" s="1"/>
  <c r="A10" i="16" s="1"/>
  <c r="A11" i="16" s="1"/>
  <c r="A12" i="16" s="1"/>
  <c r="A13" i="16" s="1"/>
  <c r="A14" i="16" s="1"/>
  <c r="A14" i="17"/>
  <c r="A15" i="17" s="1"/>
  <c r="A16" i="17" s="1"/>
  <c r="A17" i="17" s="1"/>
  <c r="A18" i="17" s="1"/>
  <c r="A19" i="17" s="1"/>
  <c r="A20" i="17" s="1"/>
  <c r="A21" i="17" s="1"/>
  <c r="A22" i="17" s="1"/>
  <c r="A23" i="17" s="1"/>
  <c r="A24" i="17" s="1"/>
  <c r="A25" i="17" s="1"/>
  <c r="A26" i="17" s="1"/>
  <c r="A29" i="17" s="1"/>
  <c r="A30" i="17" s="1"/>
  <c r="A31" i="17" s="1"/>
  <c r="A34" i="17" s="1"/>
  <c r="A35" i="17" s="1"/>
  <c r="A40" i="17" s="1"/>
  <c r="A43" i="17" s="1"/>
  <c r="A44" i="17" s="1"/>
  <c r="A45" i="17" s="1"/>
  <c r="A46" i="17" s="1"/>
  <c r="A47" i="17" s="1"/>
  <c r="A48" i="17" s="1"/>
  <c r="A49" i="17" s="1"/>
  <c r="A52" i="17" s="1"/>
  <c r="A53" i="17" s="1"/>
  <c r="A57" i="17" s="1"/>
  <c r="A58" i="17" s="1"/>
  <c r="A59" i="17" s="1"/>
  <c r="A60" i="17" s="1"/>
  <c r="A61" i="17" s="1"/>
  <c r="A62" i="17" s="1"/>
  <c r="A65" i="17" s="1"/>
  <c r="A66" i="17" s="1"/>
  <c r="A67" i="17" s="1"/>
  <c r="A68" i="17" s="1"/>
  <c r="A69" i="17" s="1"/>
  <c r="A72" i="17" s="1"/>
  <c r="A73" i="17" s="1"/>
  <c r="A74" i="17" s="1"/>
  <c r="A75" i="17" s="1"/>
  <c r="A76" i="17" s="1"/>
  <c r="A77" i="17" s="1"/>
  <c r="A78" i="17" s="1"/>
  <c r="A81" i="17" s="1"/>
  <c r="A82" i="17" s="1"/>
  <c r="A83" i="17" s="1"/>
  <c r="A84" i="17" s="1"/>
  <c r="A85" i="17" s="1"/>
  <c r="A86" i="17" s="1"/>
  <c r="A87" i="17" s="1"/>
  <c r="A88" i="17" s="1"/>
  <c r="A89" i="17" s="1"/>
  <c r="A90" i="17" s="1"/>
  <c r="A91" i="17" s="1"/>
  <c r="A94" i="17" s="1"/>
  <c r="A95" i="17" s="1"/>
  <c r="A98" i="17" s="1"/>
  <c r="A99" i="17" s="1"/>
  <c r="A100" i="17" s="1"/>
  <c r="A101" i="17" s="1"/>
  <c r="A102" i="17" s="1"/>
  <c r="A103" i="17" s="1"/>
  <c r="A108" i="17" s="1"/>
  <c r="A109" i="17" s="1"/>
  <c r="A110" i="17" s="1"/>
  <c r="A111" i="17" s="1"/>
  <c r="A112" i="17" s="1"/>
  <c r="A113" i="17" s="1"/>
  <c r="A114" i="17" s="1"/>
  <c r="A115" i="17" s="1"/>
  <c r="A116" i="17" s="1"/>
  <c r="A117" i="17" s="1"/>
  <c r="A9" i="17"/>
  <c r="C113" i="17"/>
  <c r="C112" i="17"/>
  <c r="C111" i="17"/>
  <c r="C110" i="17"/>
  <c r="C109" i="17"/>
  <c r="C108" i="17"/>
  <c r="C71" i="17"/>
  <c r="C69" i="17"/>
  <c r="C68" i="17"/>
  <c r="C65" i="17"/>
  <c r="C64" i="17"/>
  <c r="C62" i="17"/>
  <c r="C61" i="17"/>
  <c r="C60" i="17"/>
  <c r="C59" i="17"/>
  <c r="C58" i="17"/>
  <c r="C57" i="17"/>
  <c r="C56" i="17"/>
  <c r="C49" i="17"/>
  <c r="C48" i="17"/>
  <c r="C47" i="17"/>
  <c r="C46" i="17"/>
  <c r="C45" i="17"/>
  <c r="C42" i="17"/>
  <c r="C43" i="17" s="1"/>
  <c r="C44" i="17" s="1"/>
  <c r="C31" i="17"/>
  <c r="A11" i="11"/>
  <c r="A12" i="11" s="1"/>
  <c r="A13" i="11" s="1"/>
  <c r="A24" i="24" l="1"/>
  <c r="A25" i="24" s="1"/>
  <c r="A26" i="24" s="1"/>
  <c r="A27" i="24" s="1"/>
  <c r="A28" i="24" s="1"/>
  <c r="A29" i="24" s="1"/>
  <c r="A30" i="24" s="1"/>
  <c r="A31" i="24" s="1"/>
  <c r="A32" i="24" s="1"/>
  <c r="A33" i="24" s="1"/>
  <c r="A34" i="24" s="1"/>
  <c r="A35" i="24" s="1"/>
  <c r="A36" i="24" s="1"/>
  <c r="A37" i="24" s="1"/>
  <c r="A38" i="24" s="1"/>
  <c r="C11" i="10"/>
  <c r="C8" i="10"/>
  <c r="A11" i="10"/>
  <c r="A12" i="10" s="1"/>
  <c r="A13" i="10" s="1"/>
  <c r="A14" i="10" s="1"/>
  <c r="A15" i="10" s="1"/>
  <c r="A16" i="10" s="1"/>
  <c r="A9" i="10"/>
  <c r="A19" i="10"/>
  <c r="A20" i="10" s="1"/>
  <c r="A21" i="10" s="1"/>
  <c r="A22" i="10" s="1"/>
  <c r="C34" i="1" l="1"/>
  <c r="A36" i="4" l="1"/>
  <c r="A37" i="4" s="1"/>
  <c r="A38" i="4" s="1"/>
  <c r="A39" i="4" s="1"/>
  <c r="A40" i="4" s="1"/>
  <c r="A41" i="4" s="1"/>
  <c r="A42" i="4" s="1"/>
  <c r="A43" i="4" s="1"/>
  <c r="A44" i="4" s="1"/>
  <c r="A45" i="4" s="1"/>
  <c r="A46" i="4" s="1"/>
  <c r="A47" i="4" s="1"/>
  <c r="A8" i="4"/>
  <c r="A9" i="4" s="1"/>
  <c r="A10" i="4" s="1"/>
  <c r="A11" i="4" s="1"/>
  <c r="A12" i="4" s="1"/>
  <c r="A13" i="4" s="1"/>
  <c r="A14" i="4" s="1"/>
  <c r="A15" i="4" s="1"/>
  <c r="A16" i="4" s="1"/>
  <c r="A21" i="4" s="1"/>
  <c r="A22" i="4" s="1"/>
  <c r="A23" i="4" s="1"/>
  <c r="A24" i="4" s="1"/>
  <c r="A25" i="4" s="1"/>
  <c r="A26" i="4" s="1"/>
  <c r="A27" i="4" s="1"/>
  <c r="A28" i="4" s="1"/>
  <c r="A29" i="4" s="1"/>
  <c r="A30" i="4" s="1"/>
  <c r="A31" i="4" s="1"/>
  <c r="C13" i="4"/>
  <c r="C32" i="4"/>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11" i="1"/>
  <c r="A12" i="1" s="1"/>
  <c r="C17" i="4"/>
  <c r="A49" i="1" l="1"/>
  <c r="A53" i="1" s="1"/>
  <c r="A54" i="1" s="1"/>
  <c r="A55" i="1" s="1"/>
  <c r="A56" i="1" s="1"/>
  <c r="A57" i="1" s="1"/>
  <c r="A58" i="1" s="1"/>
  <c r="A62" i="1" l="1"/>
  <c r="A67" i="1" s="1"/>
  <c r="A6" i="29"/>
  <c r="A7" i="29" s="1"/>
</calcChain>
</file>

<file path=xl/sharedStrings.xml><?xml version="1.0" encoding="utf-8"?>
<sst xmlns="http://schemas.openxmlformats.org/spreadsheetml/2006/main" count="2366" uniqueCount="1001">
  <si>
    <t>1. Torkolati műtárgy</t>
  </si>
  <si>
    <t>Földmunkák</t>
  </si>
  <si>
    <r>
      <t>m</t>
    </r>
    <r>
      <rPr>
        <vertAlign val="superscript"/>
        <sz val="12"/>
        <color indexed="8"/>
        <rFont val="Times New Roman"/>
        <family val="1"/>
        <charset val="238"/>
      </rPr>
      <t>3</t>
    </r>
  </si>
  <si>
    <t>Betonépítési, zsaluzási és vasszerelési munkák</t>
  </si>
  <si>
    <t>Bontási munkák</t>
  </si>
  <si>
    <t>Résvezető gerenda bontása, elszállítással, lerakással</t>
  </si>
  <si>
    <t>Szerelőbeton építése C12/15-X0b(H) minőségű betonból 10 cm vastagságban</t>
  </si>
  <si>
    <r>
      <t>m</t>
    </r>
    <r>
      <rPr>
        <vertAlign val="superscript"/>
        <sz val="12"/>
        <color indexed="8"/>
        <rFont val="Times New Roman"/>
        <family val="1"/>
        <charset val="238"/>
      </rPr>
      <t>2</t>
    </r>
  </si>
  <si>
    <t>t</t>
  </si>
  <si>
    <t>1.1.2. Vízigépészet</t>
  </si>
  <si>
    <t>1.1.2.1. Ideiglenes elzárások</t>
  </si>
  <si>
    <t>kg</t>
  </si>
  <si>
    <t>Elzárások üzembe helyezése próba-mozgatással.</t>
  </si>
  <si>
    <t>készlet</t>
  </si>
  <si>
    <t>Ideiglenes elzárás összesen:</t>
  </si>
  <si>
    <t>Elzárások üzembe helyezése próbamozgatással, vízzárósági próbával.</t>
  </si>
  <si>
    <t>Hajózsilip felső fő elsődleges bebetonozott acélszerkezet a műtárgy zsaluzatába elhelyezve, szerkezeti acélból. 1 készlet</t>
  </si>
  <si>
    <t>Hajózsilip alsó fő elsődleges bebetonozott acélszerkezet a műtárgy zsaluzatába elhelyezve, szerkezeti acélból. 1 készlet</t>
  </si>
  <si>
    <t xml:space="preserve">Hajózsilip felső fő tokszerkezet gyártása és szerelése a betonnal nem érintkező felületen, korrózióvédelemmel. Hegesztett lemezes szerkezet szerkezeti acélból. Elsődlegesen bebetonozott szerkezethez, állítócsavaros rögzítéssel. 1 készlet </t>
  </si>
  <si>
    <t>Szabályozó zsilip elsődleges bebetonozott acélszerkezet a műtárgy zsaluzatába elhelyezve, szerkezeti acélból. 6 készlet</t>
  </si>
  <si>
    <t xml:space="preserve">Hajózsilip alsó fő tokszerkezet gyártása és szerelése a betonnal nem érintkező felületen, korrózióvédelemmel. Hegesztett lemezes szerkezet szerkezeti acélból. Elsődlegesen bebetonozott szerkezethez, állítócsavaros rögzítéssel. 1 készlet </t>
  </si>
  <si>
    <t>Sík vízzáró lemezű hegesztett kivitelű, szerkezeti acélanyagú elzárótáblák gyártása és szerelése, vízzáró profilgumi tömítéssel, rozsdamentes anyagú rögzítőelemekkel. Műanyag (Solidur) megvezető csúszkával, korrózióvédelemmel.Csereszabatos kivitelben. 1 db gerenda=5800 kg ; 37db gerenda</t>
  </si>
  <si>
    <t>Ideiglenes elzárótáblák tárolásához, szállításához segédberendezés gyártása, szerelése szerkezeti acélból, hegesztett szerkezet, korrózióvédelemmel.1gerendához 130 kg ; 37 gerendához</t>
  </si>
  <si>
    <t>m</t>
  </si>
  <si>
    <t>db</t>
  </si>
  <si>
    <t>Szegmens főelzárás összesen:</t>
  </si>
  <si>
    <t>Szegmens pajzs és küszöb beállításához és rögzítéséhez lemezes szerkezet gyártása betonkarmokkal, elhelyezése a műtárgy zsaluzatába. Anyaga:S 235 JRG2(MSZ EN10025). A műtárgy hézagainak megfelelő toldásokkal ; 2 nyílásban x 1500 kg</t>
  </si>
  <si>
    <t>Szegmens pajzs és küszöbgyártása és szerelése, szerkezeti acélból, kivéve pajzslemez rozsdamentes zárófelülete. Hegesztett szerkezet, a betonnal nem érintkező felületein korrózióvédelemmel. Villamos fűtőberendezés beszerelhetőségének a biztosításával.Anyaga:S 235 JRG2(MSZ EN10025) Pajzs zárófelülete:KO 33 (MSZ EN 10088). Elsődlegesen bebetonozott szerkezethez állítócsavaros rögzítéssel. Szerelés betonozás idejére ideiglenes merevítővel ellátva. Készül: 2 nyílásban x 2900,0 kg</t>
  </si>
  <si>
    <t>Pajzslemezbe beépített záró és futófelület rozsdamentes anyagból. A beépítés a kontakt korrózió kizárásával készüljön. Szerelés szállítás idejére a felület sérülés mentes védelmének biztosításával. A pajzslemez futófelületének anyga KO 33 (MSZEN 10088). Készül: 2 nyílásban x 1225 kg</t>
  </si>
  <si>
    <t>Acélszerkezetű szegmenstábla vízzáró tömítő elemeinek gyártása szerelése két oldali vízzárás biztosítására a szükséges profillal kialakítva.A tömítőelemek anyaga Sho 60 gumi. Szakító szilárdsága 21 N/mm2. Ózonálló. Összenyomhatósága:30 %. 2 nyílásban</t>
  </si>
  <si>
    <t>Szegmens csaptámasz elhelyezése a vasbeton műtárgy zsaluzatában, beállítása, rögzítése. A beállítást igazoló mérési jegyzőkönyvvel. Készül: 2 nyílásban</t>
  </si>
  <si>
    <t>Acélszerkezetű szegmenstábla gyártása szerkezeti acélból, szerelése, korrózió-védelemmel. A szegmenstábla a vízzáró lemezzel egybeépített szekrénytartóból és azzal mereven összeépített 2 db szegmenskarból áll. A merevítését vízszintes bordák, és függőleges helyzetű diafragmák biztosítják. A vízzáró lemez külső oldalán a diafragmák vonalában jégtörő bordák vannak beépítve. A szerkezet hegesztéssel, és a szükség szerint illesztett csavaros kapcsolatokkal készül. Anyaga: S 235 JRG2(MSZEN10025).Gyártelepi gyártás, összeállítás, helyszíni összeszerelés. Rugalmas profilgumi anyagú tömítés szerelése, rozsdamentes rögzítőelemekkel. Szegmenstábla mozgatás közbeni vezetését biztosító rugós oldal-vezető rozsdamentes görgők szerelése. Készül: 2 nyílásban x 87000 kg</t>
  </si>
  <si>
    <t>Acélszerkezetű szegmens tábla tömítés leszorító és kötőelemeinek és aszegmenstábla mozgatás közbeni vezetését biztosító rugós oldal-vezető rozsdamentes görgők gyártása. Anyagminőség KO 11 (MSZ EN 10088). 2 nyílásban.</t>
  </si>
  <si>
    <t>Szegmens csaptámasz beállításához és szereléséhez alkalmas segédszerkezetek gyártása és szerelése. Hegesztett szerkezet. Anyaga: 235 JRG2(MSZ EN10025). A távtartó cső anyaga: DIN 2458. 2 készlet</t>
  </si>
  <si>
    <t>Szegmens csaptámaszgyártása és szerelése. A szerkezet a beton műtárgyba beépülő acélszerkezeti hengeres támasztó tartóból és a falazat külső síkjában lévő karimájához illesztett csavaros kapcsolattal csatlakozó acél öntvény anyagú tengelyből áll. A támasztó tartó anyaga: S235JRG2 (MSZEN 10025). A tengely anyaga: S355J0 (MSZEN 10025). Készül: 2 nyílásban</t>
  </si>
  <si>
    <t>1.1.2.2. Szabályozó zsilipek szegmens főelzárás</t>
  </si>
  <si>
    <t xml:space="preserve">Szabályozó zsilip tokszerkezet gyártása és szerelése a betonnal nem érintkező felületen, korrózióvédelemmel. Hegesztett lemezes szerkezet szerkezeti acélból. Elsődlegesen bebetonozott szerkezethez, állítócsavaros rögzítéssel. 6 készlet </t>
  </si>
  <si>
    <t xml:space="preserve">Reteszelés alkatrészeinek beszerzése, gyártása, beépítése: </t>
  </si>
  <si>
    <t xml:space="preserve">Reteszelés mozgató berendezésének beszerzése, gyártása, beépítése: </t>
  </si>
  <si>
    <t>1.1.2.3. Szabályozó zsilip főelzárás mozgató berendezés</t>
  </si>
  <si>
    <t xml:space="preserve">Acélszerkezetű szegmenstábla vízzáró tömítő elemeinek gyártása szerelése két oldali vízzárás biztosítására a szükséges profillal kialakítva.A tömítőelemek anyaga Sho 60 gumi. Szakító szilárdsága 21 N/mm2. Ózonálló.Összenyomhatósága:30 % </t>
  </si>
  <si>
    <t xml:space="preserve">Acélszerkezetű szegmens tábla tömítés leszorító és kötőelemeinek és aszegmenstábla mozgatás közbeni vezetését biztosító rugós oldal-vezető rozsdamentes görgők gyártása. Anyagminőség KO 11 (MSZ EN 10088) </t>
  </si>
  <si>
    <t>Szegmens karokba beépített SKF típusúvagy azzal egyenértékű gömbcsuklók beszerzése és beépítése két oldali tömítéssel. Összeszerelése a csaptámasszal. 1 nyílás.</t>
  </si>
  <si>
    <t>Szegmens csaptámaszgyártása és szerelése. A szerkezet a beton műtárgyba beépülő acélszerkezeti hengeres támasztó tartóból és a falazat külső síkjában lévő karimájához illesztett csavaros kapcsolattal csatlakozó acél öntvény anyagú tengelyből áll. A támasztó tartó anyaga:S235JRG2(MSZEN 10025) A tengely anyaga:S355J0 (MSZEN 10025) Készül:1 nyílásban</t>
  </si>
  <si>
    <t>Szegmens csaptámasz beállításához és szereléséhez alkalmas segédszerkezetek gyártása és szerelése. Hegesztett szerkezet. Anyaga: 235 JRG2(MSZ EN10025) A távtartó cső anyaga:DIN 2458 1 nyílásban</t>
  </si>
  <si>
    <t>Szegmens csaptámasz elhelyezése a vasbeton műtárgy zsaluzatában, beállítása, rögzítése. A beállítást igazoló mérési jegyzőkönyvvel.Készül:1 nyílásban</t>
  </si>
  <si>
    <t>Szegmens felső kiemelt helyzetében az elzárás reteszelése a műtárgy falában beépített szerkezethez annak mundkét oldalán. A szerkezet anyaga:235 JRG2(MSZEN10025)S355JO(MSZEN10025) anyagú tengely SKF típusú vagy azzal egyenértékű csapágyazással. Gyártás, szerelés 1+1 készlet</t>
  </si>
  <si>
    <t xml:space="preserve">A vasbeton műtárgy falára szerelt szerkezet a csaptámasz és a szegmenskarok hajó okozta sérülések elkerülésére. Szerkezeti acél anyagú bordákkal merevített lemezes szerkezet.A szerkezet anyaga 235 JRG2 (MSZEN10025)Készül:1+1 </t>
  </si>
  <si>
    <t>Gépészeti mozgatóberendezés gyártása/beszerzése, szerelése: AUMA GS500/F60 bronzkerekes csigahajtómű beszerzése</t>
  </si>
  <si>
    <t>Gépészeti mozgatóberendezés gyártása/beszerzése, szerelése:Egyedi behajtó homlokkerekes hajtómű beszerzése, vagy gyártása.</t>
  </si>
  <si>
    <t xml:space="preserve">Gépészeti mozgatóberendezés gyártása/beszerzése, szerelése:Egyedi hajtóműház tervezése, gyártása telepítése. </t>
  </si>
  <si>
    <t>Gépészeti mozgatóberendezés gyártása/beszerzése, szerelése: AUMA gyártmány F60 kapcsolófél acélból a GS 500 hajtómű részére, külső fogazással.A kapcsolófél belső felületek méretre munkálása.</t>
  </si>
  <si>
    <t xml:space="preserve">Hajtótengely gyártása. </t>
  </si>
  <si>
    <t>Hajtóműház szerelvények, csapágyak, tömítések, egyéb alkatrészek gyártása/beszerzése.</t>
  </si>
  <si>
    <t>Hajtóművek gépműhelyi készre szerelése.</t>
  </si>
  <si>
    <t>Hajtóművek helyszíni beépítése, acélszerkezetű állványzatra építve, a műtárgy vasbeton szerkezetéhez rögzítve</t>
  </si>
  <si>
    <t>Emelőlánc: Csapos teherlánc (DIN 8150) B típusú, 120 mm osztású, kétsoros, csapos teherlánc beszerzése, gépműhelyi előszerelése. (4x15 fm).</t>
  </si>
  <si>
    <t>Emelőlánc: Csapos teherlánc (DIN 8150) B típusú, 120 mm osztású, kétsoros csapos teherlánc, beemelése, helyszíni szerelése, a műtárgy fülkéjében beépített kikötőszemhez csatlakoztatva</t>
  </si>
  <si>
    <t xml:space="preserve">Hajtómű acélszerkezetű burkolata hegesztett kivitelben, gyártás, szerelés. </t>
  </si>
  <si>
    <t>Emelőlánc: Csapos teherlánc (DIN 8150) B típusú, 120 mm osztású, kétsoros, csapos teherlánc beszerzése, gépműhelyi előszerelése. (2x20 fm).</t>
  </si>
  <si>
    <t xml:space="preserve">Szegmens pajzs és küszöb beállításához és rögzítéséhez lemezes szerkezet gyártása betonkarmokkal, elhelyezése a műtárgy zsaluzatába.Anyaga:S 235 JRG2(MSZ EN10025) A műtárgy hézagainak megfelelő toldásokkal. 1 készlet </t>
  </si>
  <si>
    <t>Szegmens pajzs és küszöbgyártása és szerelése, szerkezeti acélból, kivéve pajzslemez rozsdamentes zárófelülete. Hegesztett szerkezet, a betonnal nem érintkező felületein korrózióvédelemmel. Villamos fűtőberendezés beszerelhetőségének a biztosításával.Anyaga:S 235 JRG2(MSZ EN10025) Pajzs futófelülete:KO 33 (MSZ EN 10088) Elsődlegesen bebetonozott szerkezethez állítócsavaros rögzítéssel. Szerelés betonozás idejére ideiglenes merevítővel ellátva. Készül: 1 készlet</t>
  </si>
  <si>
    <t>Pajzslemezbe beépített záró és futófelület rozsdamentes anyagból. A beépítés a kontakt korrózió kizárásával készüljön. Szerelés szállítás idejére a felület sérülés mentes védelmének biztosításával.A pajzslemez futófelületének anyaga KO 33 (MSZEN 10088). Készül:1 készlet</t>
  </si>
  <si>
    <t>Acélszerkezetű szegmenstábla gyártása szerkezeti acélból, szerelése, korrózió-védelemmel. A szegmenstábla a vízzáró lemezzel egybeépített szekrénytartóból és azzal mereven összeépített 2 db szegmenskarból áll. A merevítését vízszintes bordák, és függőleges helyzetű diafragmák biztosítják. A szerkezet hegesztéssel, és a szükség szerint illesztett csavaros kapcsolatokkal készül. Anyaga:S 235 JRG2(MSZEN10025). Gyártelepi gyártás, összeállítás, helyszíni összeszerelés. Rugalmas profilgumi anyagú tömítés szerelése, rozsdamentes rögzítőelemekkel. Szegmenstábla mozgatás közbeni vezetését biztosító rugós oldal-vezető rozsdamentes görgők szerelése. Készül 1 készlet</t>
  </si>
  <si>
    <t xml:space="preserve">Acélszerkezetű szegmenstábla vízzáró tömítő elemeinek gyártása szerelése két oldali vízzárás biztosítására a szükséges profillal kialakítva.A tömítőelemek anyaga Sho 60 gumi. Szakító szilárdsága 21 N/mm2. Ózonálló. Összenyomhatósága:30 % </t>
  </si>
  <si>
    <t>Szegmens csaptámaszgyártása és szerelése. A szerkezet a beton műtárgyba beépülő acélszerkezeti hengeres támasztó tartóból és a falazat külső síkjában lévő karimájához illesztett csavaros kapcsolattal csatlakozó acél öntvény anyagú tengelyből áll. A támasztó tartó anyaga:S235JRG2(MSZEN 10025). A tengely anyaga: S355J0 (MSZEN 10025). Készül: 1 nyílásban</t>
  </si>
  <si>
    <t>Szegmens csaptámasz beállításához és szereléséhez alkalmas segédszerkezetek gyártása és szerelése. Hegesztett szerkezet. Anyaga: 235 JRG2(MSZ EN10025). A távtartó cső anyaga: DIN 2458. 1 nyílásban</t>
  </si>
  <si>
    <t>Szegmens csaptámasz elhelyezése a vasbeton műtárgy zsaluzatában, beállítása, rögzítése. A beállítást igazoló mérési jegyzőkönyvvel. Készül: 1 nyílásban.</t>
  </si>
  <si>
    <t xml:space="preserve">A vasbeton műtárgy falára szerelt szerkezet a csaptámasz és a szegmenskarok hajó okozta sérülések elkerülésére. Szerkezeti acél anyagú bordákkal merevített lemezes szerkezet.A szerkezet anyaga 235 JRG2 (MSZEN10025). Készül:1+1 </t>
  </si>
  <si>
    <t>Szegmens felső kiemelt helyzetében az elzárás reteszelése a műtárgy falában beépített szerkezethez annak mundkét oldalán. A szerkezet anyaga:235 JRG2(MSZEN10025) S355JO (MSZEN10025) anyagú tengely SKF típusú vagy azzal egyenértékű csapágyazással. Gyártás, szerelés 1+1 készlet</t>
  </si>
  <si>
    <t>Gépészeti mozgatóberendezés gyártása/beszerzése, szerelése: AUMA gyártmány F60 kapcsolófél acélból a GS 500 hajtómű részére, külső fogazással. A kapcsolófél belső felületek méretre munkálása.</t>
  </si>
  <si>
    <t>Gépészeti mozgatóberendezés gyártása/beszerzése, szerelése: Egyedi behajtó homlokkerekes hajtómű beszerzése, vagy gyártása.</t>
  </si>
  <si>
    <t xml:space="preserve">Gépészeti mozgatóberendezés gyártása/beszerzése, szerelése: Egyedi hajtóműház tervezése, gyártása telepítése. </t>
  </si>
  <si>
    <t xml:space="preserve">Szegmens pajzs és küszöb beállításához és rögzítéséhez lemezes szerkezet gyártása betonkarmokkal, elhelyezése a műtárgy zsaluzatába. Anyaga: S235JRG2 (MSZ EN10025) A műtárgy hézagainak megfelelő toldásokkal. 1 készlet </t>
  </si>
  <si>
    <t>Szegmens pajzs és küszöbgyártása és szerelése, szerkezeti acélból, kivéve pajzslemez rozsdamentes zárófelülete. Hegesztett szerkezet, a betonnal nem érintkező felületein korrózióvédelemmel. Villamos fűtőberendezés beszerelhetőségének a biztosításával.Anyaga: S235JRG2 (MSZ EN10025) Pajzs futófelülete: KO 33 (MSZ EN 10088) Elsődlegesen bebetonozott szerkezethez állítócsavaros rögzítéssel. Szerelés betonozás idejére ideiglenes merevítővel ellátva. Készül: 1 készlet</t>
  </si>
  <si>
    <t>Pajzslemezbe beépített záró és futófelület rozsdamentes anyagból. A beépítés a kontakt korrózió kizárásával készüljön. Szerelés szállítás idejére a felület sérülés mentes védelmének biztosításával. A pajzslemez futófelületének anyga KO 33 (MSZEN 10088). Készül: 1 készlet</t>
  </si>
  <si>
    <t>Acélszerkezetű szegmenstábla gyártása szerkezeti acélból, szerelése, korrózió-védelemmel. A szegmenstábla a vízzáró lemezzel egybeépített szekrénytartóból és azzal mereven összeépített 2 db szegmenskarból áll. A merevítését vízszintes bordák, és függőleges helyzetű diafragmák biztosítják. A szerkezet hegesztéssel, és a szükség szerint illesztett csavaros kapcsolatokkal készül. Anyaga:S 235 JRG2 (MSZEN10025). Gyártelepi gyártás, összeállítás, helyszíni összeszerelés. Rugalmas profilgumi anyagú tömítés szerelése, rozsdamentes rögzítőelemekkel. Szegmenstábla mozgatás közbeni vezetését biztosító rugós oldal-vezető rozsdamentes görgők szerelése. Készül 1 készlet</t>
  </si>
  <si>
    <t>Acélszerkezetű szegmenstábla vízzáró tömítő elemeinek gyártása szerelése két oldali vízzárás biztosítására a szükséges profillal kialakítva. A tömítőelemek anyaga Sho 60 gumi. Szakító szilárdsága 21 N/mm2. Ózonálló. Összenyomhatósága: 30 %. 1 készlet</t>
  </si>
  <si>
    <t>Szegmens karokba beépített SKF típusú vagy azzal egyenértékű gömbcsuklók beszerzése és beépítése két oldali tömítéssel. Összeszerelése a csaptámasszal. 1 nyílás</t>
  </si>
  <si>
    <t>Szegmens csaptámasz gyártása és szerelése. A szerkezet a beton műtárgyba beépülő acélszerkezeti hengeres támasztó tartóból és a falazat külső síkjában lévő karimájához illesztett csavaros kapcsolattal csatlakozó acél öntvény anyagú tengelyből áll. A támasztó tartó anyaga: S235JRG2 (MSZEN 10025) A tengely anyaga: S355J0 (MSZEN 10025) Készül: 1 nyílásban.</t>
  </si>
  <si>
    <t>Szegmens csaptámasz beállításához és szereléséhez alkalmas segédszerkezetek gyártása és szerelése. Hegesztett szerkezet. Anyaga: 235 JRG2 (MSZ EN10025) A távtartó cső anyaga: DIN 2458 1 nyílásban</t>
  </si>
  <si>
    <t>Szegmens csaptámasz elhelyezése a vasbeton műtárgy zsaluzatában, beállítása, rögzítése. A beállítást igazoló mérési jegyzőkönyvvel. Készül: 1 nyílásban</t>
  </si>
  <si>
    <t>Szegmens felső kiemelt helyzetében az elzárás reteszelése a műtárgy falában beépített szerkezethez annak mindkét oldalán. A szerkezet anyaga: 235 JRG2 (MSZEN10025) S355JO (MSZEN10025) anyagú tengely SKF típusú vagy azzal egyenértékű csapágyazással. Gyártás, szerelés. 1 készlet</t>
  </si>
  <si>
    <t xml:space="preserve">Reteszelés mozgetó berendezésének beszerzése, gyártása, beépítése: </t>
  </si>
  <si>
    <t xml:space="preserve"> Tokszerkezet gyártása és szerelése a felső fő, kis hajózó alsó fő és alsó fő főelzárásához.
Hegesztett lemezes szerkezet, szerkezeti acélból, a betonnal nem érintkező felületein korrózióvédelemmel.
Kényszerzárást biztosító rozsdamentes anyagú ékkel.
Szerelés betonozás idejére ideiglenes merevítővel
ellátva.
Készül 6 db</t>
  </si>
  <si>
    <t xml:space="preserve">Tokszerkezetek beállításához, szereléséhez,
 rögzítéséhez könnyűállvány 2,00 x 1,00 m
 méretű 1,8 m-kénti munkaterülettel, 8,00 m-es össz magassággal, közlekedő hágcsókkal, biztonsági korláttal
 Készül 6 készlet
</t>
  </si>
  <si>
    <t xml:space="preserve">Szerelés idejére 5t teherbírású mobil emelő berendezés biztosítása, hat nyílásban
</t>
  </si>
  <si>
    <t>üó</t>
  </si>
  <si>
    <t xml:space="preserve">Felső fő, kis hajózó alsó fő és alsó fő főelzárások tokszerkezetének beállításához és rögzítéséhez lemezes szerkezet gyártása bekötőkarmokkal, és elhelyezése a műtárgy zsaluzatában .
A műtárgy munkahézagainak megfelelő toldásokkal.
Anyaga: S 235 JRG2 (MSZ EN 10025)
Készül:6 db 
</t>
  </si>
  <si>
    <t>Felső fő kis hajózó alsó fő és alsó fő főelzárás, hegesztett kivitelű acélszerkezetű elzáró tábla sík vízzáró lemezzel, kereszt- és hosszbordákkal merevítve, profilgumi tömítéssel. 
Ékes zárással.„SOLIDUR” anyagú csúszkával. Korrózióvédelemmel.
6db</t>
  </si>
  <si>
    <t>Az elzárások vízzáró felületének kialakítása ékes alakúra és beépítése a tokszerkezetbe.A táblán tömítő elemek rögzítő és kötő elemeinek gyártása és szereléserozsdamentesaz MSZ 10088 szabvány szerinti KO 33 anyagból. 6 készlet.</t>
  </si>
  <si>
    <t>Acélszerkezetű sík tábla vízzáró tömítő elemeinek gyártása és szerelése két oldali vízzárás biztosítására a szükséges profillal kialakítva.A tömítő elemek anyaga Sho 60 gumi Szakító szilárdsága 21 N/mm2. Ózonálló. Összenyomhatósága 30 % 6 készlet</t>
  </si>
  <si>
    <t xml:space="preserve">Az elzáró táblák nyitását-zárását biztosító
 mozgató berendezés 
 Hajtómű: AUMA NORM SA10.1/F10+GS160.3+GZ160.3-4:1RR/F25
 A berendezés gépi mozgatású, de áramkimaradás esetén kézzel is működtethető.
 Az elzárás és a mozgató berendezés közötti
 kapcsolatot fogas létrák közvetítik.
 Gépészeti alátámasztó állvánnyal.
 A gépészeti elemek szerkezeti acélból készülnek, horganyzott kivitelben.
6db </t>
  </si>
  <si>
    <t>Vízzáró jet-grouting paplan készítése felszín alatt 10-20 m mélységben, 3,5 m vastagságban</t>
  </si>
  <si>
    <t>Vízzáró jet-grouting paplan készítése felszín alatt 15-25 m mélységben, 5,0 m vastagságban</t>
  </si>
  <si>
    <r>
      <t>lm</t>
    </r>
    <r>
      <rPr>
        <vertAlign val="superscript"/>
        <sz val="12"/>
        <color indexed="8"/>
        <rFont val="Times New Roman"/>
        <family val="1"/>
        <charset val="238"/>
      </rPr>
      <t>3</t>
    </r>
  </si>
  <si>
    <t>Vasbeton gerenda készítése C30/37-XC4-XV2(H)-32-F2 minőségű betonból</t>
  </si>
  <si>
    <t>Vasbeton födémlemez készítése C30/37-XC4-XV2(H)-32-F2 minőségű betonból</t>
  </si>
  <si>
    <t>A résfalakkal körbezárt munkagödör oldalfalainak megtámasztása egyedi, térbeli, méretezett dúcolattal, a földkiemelés lépéseihez igazított beépítéssel, a beépülő szerkezetek megépíthetőségét biztosító elrendezésse, és a megépült szerkezeti elemeket figyelembe vevő visszabontással.</t>
  </si>
  <si>
    <t>Résvezető gerenda építése C25/30-XC2-16-F2 minőségű betonból</t>
  </si>
  <si>
    <t>Betonacél szerelés és elhelyezés B.500.C minőségű betonacélból előző tételben</t>
  </si>
  <si>
    <t>Vasbeton fal készítése &lt; 1m vastagságban C30/37-XC4-XV2(H)-32-F2 minőségű betonból</t>
  </si>
  <si>
    <t>Résfal visszabontása nagy felületen egyedi technológiával, elszállítással, törmelék elhelyezéssel, bontott felület helyreállítása, kiegyenlítése a felülettel szemben támasztott kritériumoktól függően.</t>
  </si>
  <si>
    <t>Betonacél szerelés és elhelyezés B.500.C minőségű betonacélból a előző tételben</t>
  </si>
  <si>
    <t>előző tétel zsaluzása egyoldali sík zsaluzattal, vagy kétoldalú olyan egyedi zsaluzási megoldással, mely zsaluzat a kéregbeton és további betonrészek vaskapcsolatát biztosítani tudja, és a két betonozási ütem között a nyírókapcsolat kialakítását lehetővé teszi.</t>
  </si>
  <si>
    <t>előző tétel zsaluzása egyoldali sík zsaluzattal</t>
  </si>
  <si>
    <t>előző tétel zsaluzása kétoldali sík zsaluzattal</t>
  </si>
  <si>
    <t>Munkagödörből föld kiemelése bármely konzisztenciájú, I.-III. fejtési osztályú talajban, dúcolt munkaárokból, géppel-kézzel</t>
  </si>
  <si>
    <t>előző tétel zsaluzása egyoldali íves zsaluzattal</t>
  </si>
  <si>
    <t>1.1.3. Elektromos ellátás</t>
  </si>
  <si>
    <t>3.3. Útépítés, burkolattal</t>
  </si>
  <si>
    <t>Homokos kavicságy készítése Trρ=95%-ra tömörítve csónak átemelő alá</t>
  </si>
  <si>
    <r>
      <t>m</t>
    </r>
    <r>
      <rPr>
        <vertAlign val="superscript"/>
        <sz val="12"/>
        <rFont val="Times New Roman"/>
        <family val="1"/>
        <charset val="238"/>
      </rPr>
      <t>3</t>
    </r>
  </si>
  <si>
    <t>Síklemez egyoldali függőleges zsaluzása, 15cm magasságig</t>
  </si>
  <si>
    <r>
      <t>m</t>
    </r>
    <r>
      <rPr>
        <vertAlign val="superscript"/>
        <sz val="12"/>
        <rFont val="Times New Roman"/>
        <family val="1"/>
        <charset val="238"/>
      </rPr>
      <t>2</t>
    </r>
  </si>
  <si>
    <t>Szerelőbeton készítése 10 cm vastagságban, C12/15-X0b(H)-24-F1 minőségben csónak átemelő alá</t>
  </si>
  <si>
    <t xml:space="preserve">Vasbeton lemez készítése 15 cm vastagságban, C30/37-XC4-XF4-24-F2 minőségben </t>
  </si>
  <si>
    <t>Betonacél helyszíni szerelése, B500 (B60.50) acélminőség</t>
  </si>
  <si>
    <t>Földvisszatöltés, tömörítés kötött talajjal</t>
  </si>
  <si>
    <t>Dúcolt munkagödör kialakítása LARSSEN G-61 jelű szádlemezzel (h=20m), majd szádlemezek visszahúzása földvisszatöltés után</t>
  </si>
  <si>
    <t xml:space="preserve">D80 fúrt CFA cölöpök készítése 11,0 m hosszal, C30/37-XC4-XA1-32-F5 betonminőséggel, cölöp felső síkján 50 cm visszavéséssel </t>
  </si>
  <si>
    <t>Szerelőbeton készítése, 10 cm vastagsággal, C8/10-XN(H)-32-F2 betonminőséggel</t>
  </si>
  <si>
    <t>Szögtámfal alaplemez készítése C30/37-XC2-XA1-32-F2  betonminőséggel  sík zsaluzat felhasználásával</t>
  </si>
  <si>
    <t>Szögtámfal készítése C45/55-XC4-XA1-XV2(H)-XK4-32-F2  betonminőséggel, több ütemű betonozással kétoldali sík zsaluzat felhasználásával</t>
  </si>
  <si>
    <t>Kiselemes térkőburkolat alá ágyazat – 25cm vtg-ban – a kiválasztott térkő burkolat fajtájának megfelelően</t>
  </si>
  <si>
    <t>Kiselemes térkőburkolat készítése a kőfajtának megfelő fugázással</t>
  </si>
  <si>
    <t xml:space="preserve">20cm vtg M56 mechanikai stabilizáció készítése </t>
  </si>
  <si>
    <t>Monolit vasalt talpgerenda készítése - kiselemes térkőburkolat ill. stabilizált járófelület szélén a rézsűtalp megtámasztására C30/37-XC4-XA1-32-F2 betonminőséggel,</t>
  </si>
  <si>
    <t>Kikötői járdát alátámasztó oszlopok alapozása   C30/37-XC4-XA1-32-F2 betonminőséggel, zsaluzással állványozással</t>
  </si>
  <si>
    <t>Kikötői oszlopok készítése   C30/34-XC4-32-F2  betonminőséggel, íves egyedi zsalu felhasználásával</t>
  </si>
  <si>
    <t>1,70m széles oszlopokra támaszkodó közlekedő járda készítése   C30/37-XC4-32-F2 betonminőséggel, zsaluzással, állványozással</t>
  </si>
  <si>
    <t xml:space="preserve">D40 fúrt CFA cölöpök készítése 14,5 m hosszal, C30/37-XC4-XA1-32-F5 betonminőséggel, cölöp felső síkján 50 cm visszavéséssel, gyaloghíd közbenső alátámasztó oszlop alatt </t>
  </si>
  <si>
    <t>D40 fúrt CFA cölöpöket összefogó fej készítése   C30/37-XC4-XA1-32-  F2 betonminőséggel, zsaluzással</t>
  </si>
  <si>
    <t>D80-as oszlop készítése   C30/37-XC4-XA1-32-F2 betonminőséggel, zsaluzással</t>
  </si>
  <si>
    <t>D80-as oszlopfej készítése  - hídelemek betámaszkodási helye C30/37-XC4-32-F2 betonminőséggel,  egyoldali sík zsaluzással, alátámasztó állványzattal</t>
  </si>
  <si>
    <t>Acélhíd megtámaszkodási hely, rézsüben elkészítve C30/37-XC4-XA1-32-F2 betonminőséggel, egyoldali sík zsaluzással</t>
  </si>
  <si>
    <t xml:space="preserve">Becsült betonacél mennyiség </t>
  </si>
  <si>
    <t>Acélszerkezeti munkálatok</t>
  </si>
  <si>
    <t>Egyedi  acélhíd  készítése 2 beemelési egységből (1660kg+1640kg) S235 J0 minőségű acélból, áttört acél járófelülettel, korrozió védő bevonattal ellátva</t>
  </si>
  <si>
    <t>Háromsoros acélkorlát készítése zártszelvényből S235 Jminőségű acélból 227m hosszon, korrozió védő bevonattal ellátva</t>
  </si>
  <si>
    <t>Felnyíló visszacsapódás mentes acélfedlap  készítése 800mmx800mm-es nyílásra  S235 J0 minőségű acélból, korrozió védő bevonattal ellátva, 60kg/db</t>
  </si>
  <si>
    <t>Felnyíló visszacsapódás mentes acélfedlap  készítése 600mmx600mm-es nyílásra  S235 J0 minőségű acélból, korrozió védő bevonattal ellátva, 34kg/db</t>
  </si>
  <si>
    <t>Acéllétra  készítése 5m-es szintkülönbség áthidalására  S235 J0 minőségű acélból, vasbeton szerkezethez utólag dübellel rögzítve, korrozióvédő bevonattal, 46kg/db</t>
  </si>
  <si>
    <t>Acéllétra  készítése 6,5m-es szintkülönbség áthidalására  S235 J0 minőségű acélból, vasbeton szerkezethez utólag dübellel rögzítve, korrozióvédő bevonattal, 60kg/db</t>
  </si>
  <si>
    <t>Falzsaluzás kétoldali függőleges vagy ferde felülettel</t>
  </si>
  <si>
    <t>Falzsaluzás egyoldali függőleges felülettel</t>
  </si>
  <si>
    <t>Oszlopzsaluzás íves felülettel</t>
  </si>
  <si>
    <t>Síklemez zsaluzása alátámasztó állvánnyal</t>
  </si>
  <si>
    <t xml:space="preserve">D80 fúrt CFA cölöpök készítése 12,8 m hosszal, C30/37-XC4-XA1-32-F5 betonminőséggel, cölöp felső síkján 50 cm visszavéséssel </t>
  </si>
  <si>
    <t>Acéllétra  készítése 4,7m-es szintkülönbség áthidalására  S235 J0 minőségű acélból, vasbeton szerkezethez utólag dübellel rögzítve, korrozióvédő bevonattal, 43kg/db</t>
  </si>
  <si>
    <t>Hallépcső, acélszerkezeti munkák</t>
  </si>
  <si>
    <t>Háttámaszos acéllétra  készítése 3,4m-es szintkülönbség áthidalására  S235 J0 minőségű acélból, vasbeton szerkezethez utólag dűbellel rögzítve, korrózióvédő  bevonattal, 85kg/db</t>
  </si>
  <si>
    <t>Háttámaszos acéllétra  készítése 8,1m-es szintkülönbség áthidalására  S235 J0 minőségű acélból, vasbeton szerkezethez utólag dübellel rögzítve, korrozióvédő bevonattal, 190kg/db</t>
  </si>
  <si>
    <t>Háttámaszos acéllétra  készítése 3,5m-es szintkülönbség áthidalására  S235 J0 minőségű acélból, vasbeton szerkezethez utólag dübellel rögzítve, korrozióvédő bevonattal 85kg/db</t>
  </si>
  <si>
    <t xml:space="preserve">Egyedi  közlekedő  készítése  S235 J0  minőségű acélból, áttört acél járófelülettel, háromsoros acélkorláttal ,  korrozió védő bevonattal ellátva </t>
  </si>
  <si>
    <t>Háromsoros acélkorlát készítése a kezelőszintekhez  S235 J0  minőségű acélból, korrozió védő bevonattal ellátva</t>
  </si>
  <si>
    <t>Háromsoros acélkorlát készítése a hallépcsőt határoló falra S235 J0  minőségű acélból, korrozió védő bevonattal ellátva</t>
  </si>
  <si>
    <t>Árvízi zsilip</t>
  </si>
  <si>
    <t>Hallépcsőben elhelyezendő csaliviz és halcsalogató szerkezet, a fojtó és a szabályozó zsilip az üzemeltető igényei szerint kialakítva, a vasbeton szerkezetekhez rögzítve, a szükséges bebetonozandó elemekkel, tartozékokkal együtt.</t>
  </si>
  <si>
    <t>4. Monitoring rendszer</t>
  </si>
  <si>
    <t>4.2. Bácsa vízmérce</t>
  </si>
  <si>
    <t>Kisvízi vízmérce bontása a meglévő lépcső és vízmérce alépítmény beton szerkezeteinek elvésésével, törmelék elszállításával</t>
  </si>
  <si>
    <t>Építési munkák</t>
  </si>
  <si>
    <t>Kisvízi (legalsó) mércetag</t>
  </si>
  <si>
    <r>
      <t xml:space="preserve">Új csúszásmentes kialakítású (horganyzott rácsos acéllemez) terep lejáró lépcső és vízmérce alap készítése </t>
    </r>
    <r>
      <rPr>
        <sz val="12"/>
        <color theme="1"/>
        <rFont val="Times New Roman"/>
        <family val="1"/>
        <charset val="238"/>
      </rPr>
      <t>C30/37-XC4-XF3-32-F2</t>
    </r>
    <r>
      <rPr>
        <sz val="12"/>
        <color rgb="FFFF0000"/>
        <rFont val="Times New Roman"/>
        <family val="1"/>
        <charset val="238"/>
      </rPr>
      <t xml:space="preserve"> </t>
    </r>
    <r>
      <rPr>
        <sz val="12"/>
        <color indexed="8"/>
        <rFont val="Times New Roman"/>
        <family val="1"/>
        <charset val="238"/>
      </rPr>
      <t>betonból, 1:1,5 (meglévő) rézsűben elhelyezve</t>
    </r>
  </si>
  <si>
    <t>Új lapvízmérce készítése 1:1,5 (meglévő) rézsűhöz igazítva, állítható kivitelben VIZIG előírásai szerint, U220-as acéltartókkal, összekötőcsavarokkal, keményfa betétpallóval, zománcozott, 2 cm osztású vízmércelappal, tartólábakat befogó betontömbökkel</t>
  </si>
  <si>
    <t>Vízmérce és lépcső alvízi és felvízi oldalán rézsűburkolat készítése betonba ágyazott vízépítési terméskőből minimálisan 1,5-1,5 m szélességben</t>
  </si>
  <si>
    <t>Lépcső bal oldalán elhajtható megoldású 1 soros acélkorlát készítése és elhelyezése utólagos dűbeles rögzítéssel, korrózióálló felületvédelemmel ellátva</t>
  </si>
  <si>
    <t>fm</t>
  </si>
  <si>
    <t>Távmérő alépítmény</t>
  </si>
  <si>
    <t>További vízmérce tagok (2.,3.,4.,5.)</t>
  </si>
  <si>
    <t>Vízmérce lapok alatti keményfa betétek cseréje</t>
  </si>
  <si>
    <t>Sérült lapvízmérce zománcozott mérőlapjainak cseréje, a régivel megegyező méretben</t>
  </si>
  <si>
    <t>Vízépítési terméskő keresztgerendák (vízlépcsők) közé töltve</t>
  </si>
  <si>
    <t>3. Kapcsolódó létesítmények</t>
  </si>
  <si>
    <t xml:space="preserve">Megjegyzés: Az itt tételesen nem szereplő földmunkák a durva tereprendezési és útépítési munkákban vannak elszámolva
</t>
  </si>
  <si>
    <t xml:space="preserve">Homokos kavics talajjavító réteg beépítése műtárgy alá, réteges elterítéssel, gépi tömörítéssel Trr=90%-ra tömörítve
</t>
  </si>
  <si>
    <t>m3</t>
  </si>
  <si>
    <t>Épület körüli díszkavics ágy (15 cm vastagságban fehér fagyálló mészkő kulé kavics (átm.:40-100 mm), alatta geotextilia)</t>
  </si>
  <si>
    <t>Mélyalapozás</t>
  </si>
  <si>
    <t>Fúrt cölöpalap készítése d=0,6m C30/37-XA1-XC4-16-F5-MSZ 4798-1:2004 min. betonból vasalással</t>
  </si>
  <si>
    <t>Helyszíni beton és vasbeton  munkák</t>
  </si>
  <si>
    <t>Szerelőbeton készítése 10 cm vastagságig, C8/10-XN(H)-16-F2-MSZ 4798-1:2004 min. betonból</t>
  </si>
  <si>
    <t>Aljzatbeton készítése 10 cm vastagságig C12/15-X0b(H)-16-F2 min. betonból</t>
  </si>
  <si>
    <t xml:space="preserve">Lemezalap készítése C30/37-XA1-XC2-24-F2-MSZ 4798-1:2004 minőségű betonból </t>
  </si>
  <si>
    <t>Vasbeton falak készítése C30/37-XC1-16-F2-MSZ 4798-1:2004 min. betonból</t>
  </si>
  <si>
    <t>Vasbeton födém készítése C30/37-XC1-16-F2-MSZ 4798-1:2004 min. betonból</t>
  </si>
  <si>
    <t xml:space="preserve">Vasalt padlólemez készítése C25/30-XC2-16-F2-MSZ 4798-1:2004 min. betonból
</t>
  </si>
  <si>
    <t>Lépcső betonozása C30/37-XC3-XA2-32-F2 minőségű betonból</t>
  </si>
  <si>
    <t>Betonacél szerelése B500 (B60.50) minőségű acélból f8-14 átmérővel
előirányzat</t>
  </si>
  <si>
    <t>Betonacél szerelése B500 (B60.50) minőségű acélból f16-25 átmérővel
előirányzat</t>
  </si>
  <si>
    <t>Egyoldalú zsaluzat az alaplemezhez sík felülettel (lemezszél zsaluzása)</t>
  </si>
  <si>
    <t>Egyoldalú zsaluzat az alaplemezhez íves felülettel</t>
  </si>
  <si>
    <t>Kétoldali függőleges falzsaluzat készítése sík felülettel (kétoldallal számolva)</t>
  </si>
  <si>
    <t>Födémek zsaluzása alátámasztással</t>
  </si>
  <si>
    <t>Nyilások kizáró zsaluzata vasbeton falakba</t>
  </si>
  <si>
    <t>m2</t>
  </si>
  <si>
    <t>Falazatok, kőműves szerkezetek</t>
  </si>
  <si>
    <t>Cement esztrich úsztatott aljzat készítése (CE20) 6 cm vtg</t>
  </si>
  <si>
    <t>Ácsszerkezetek</t>
  </si>
  <si>
    <r>
      <t>Fa fedélszerkezet fűrészerlt C24 (F56 II) min. fából, bedolgozott famennyiség:
 0,043-0,05 m</t>
    </r>
    <r>
      <rPr>
        <vertAlign val="superscript"/>
        <sz val="12"/>
        <rFont val="Times New Roman"/>
        <family val="1"/>
        <charset val="238"/>
      </rPr>
      <t>3</t>
    </r>
    <r>
      <rPr>
        <sz val="12"/>
        <rFont val="Times New Roman"/>
        <family val="1"/>
        <charset val="238"/>
      </rPr>
      <t>/m</t>
    </r>
    <r>
      <rPr>
        <vertAlign val="superscript"/>
        <sz val="12"/>
        <rFont val="Times New Roman"/>
        <family val="1"/>
        <charset val="238"/>
      </rPr>
      <t>2</t>
    </r>
    <r>
      <rPr>
        <sz val="12"/>
        <rFont val="Times New Roman"/>
        <family val="1"/>
        <charset val="238"/>
      </rPr>
      <t>, láng-, gomba- és rovarmentesítéssel</t>
    </r>
  </si>
  <si>
    <t>Ereszdeszkázás gyalult hornyolt deszkával</t>
  </si>
  <si>
    <t>Oromdeszkázás gyalult hornyolt deszkával</t>
  </si>
  <si>
    <t>Vakolatok</t>
  </si>
  <si>
    <t>Belső vakolat készítése tégla és beton felületen Hvb 8-mc belső vakoló cementes mészhabarccsal</t>
  </si>
  <si>
    <t>Homlokzatképzések</t>
  </si>
  <si>
    <t>Tetőfedés</t>
  </si>
  <si>
    <t>30/50 mm cseréplécezés</t>
  </si>
  <si>
    <t>Ellenlécezés 50/50 mm zárléccel (átszellőztetett fedési légrés és belső oldali installációs légrés kialakításához)</t>
  </si>
  <si>
    <t>Álmennyezetek</t>
  </si>
  <si>
    <t>Gipszkarton burkolat fedélszék belső felületén tűzgátló gipszkarton lapokkal két rétegben
2x RBI 12,5</t>
  </si>
  <si>
    <t>Gipszkarton burkolat fedélszék belső felületén vizes helyiségekben tűzgátló-impregnált gipszkarton lapokkal két rétegben
2x RFI 12,5</t>
  </si>
  <si>
    <t>Burkolatok</t>
  </si>
  <si>
    <t>Padlóburkolat csúszásmentes (C, R10) PEI V kopásálló kóporcelán lapból</t>
  </si>
  <si>
    <t>Mázas csempe falburkolat készítése</t>
  </si>
  <si>
    <t>Bádogozás</t>
  </si>
  <si>
    <t>Asztalos szerkezetek</t>
  </si>
  <si>
    <t>Belső ajtó teli CPL ajtólappal és szerelhető tokkal, biztonsági zárral 
100 x 210 cm</t>
  </si>
  <si>
    <t>Mint előző, de 90 x 210 cm</t>
  </si>
  <si>
    <t>Mint előző, de 75 x 210 cm</t>
  </si>
  <si>
    <t>Beépített szekrény polcokkal (19 mm CPL lap, ABS éllezárás), biztonági zárral
150x45/280 cm</t>
  </si>
  <si>
    <t>Mint előző, de
90x60/280 cm</t>
  </si>
  <si>
    <t>Beépített konyhabútor alsó rész 60 cm mély, 90 cm magas
260+265+370+450</t>
  </si>
  <si>
    <t>Beépített konyhabútor felső rész</t>
  </si>
  <si>
    <t>Beépített  mosdópult ajtóval és polcokkal, 60 x 120 x 85 cm
Corian felső lappal</t>
  </si>
  <si>
    <t>Műanyag nyílászáró szerkezetek</t>
  </si>
  <si>
    <t>Mint előző, de
90x90 cm méretű</t>
  </si>
  <si>
    <t>Mint előző, de
90x60 cm méretű</t>
  </si>
  <si>
    <t>Mint előző, de
200x180 cm méretű</t>
  </si>
  <si>
    <t>Mint előző, de
150x150 cm méretű</t>
  </si>
  <si>
    <t>Mint előző, de
100x180 cm méretű</t>
  </si>
  <si>
    <t>Mint előző, de
90x180 cm méretű</t>
  </si>
  <si>
    <t>Nedvestéri egyszárnyú műanyag ajtó tokkal, 75x210 cm</t>
  </si>
  <si>
    <t>Nedvestéri egyszárnyú műanyag ajtó tokkal, 90x210 cm</t>
  </si>
  <si>
    <t>Fém nyílászáró szerkezetek</t>
  </si>
  <si>
    <t>Lakatos szerkezetek</t>
  </si>
  <si>
    <t>Lépcső és pihenőkorlát rozsdamentes acélból</t>
  </si>
  <si>
    <t>Kábelcsatorna lefedés bordázott acéllemezből  szögacél kerettel tüzihorganyozott</t>
  </si>
  <si>
    <t>Szögacél keret kábelcsatornára
tüzihorganyozott</t>
  </si>
  <si>
    <t>Lábtörlő rács 80x40 cm</t>
  </si>
  <si>
    <t>Fedlap tetőkibúvó nyílásra hőszigetelt kivitelben
700x1400 mm névleges méretű</t>
  </si>
  <si>
    <t>Sárkaparó</t>
  </si>
  <si>
    <t>Felületképzés</t>
  </si>
  <si>
    <t>Diszperziós festés
műanyag bázisú vizes-diszperziós  fehér festékkel, két rétegben,
tagolatlan sima felületen
Diszperzit belső falfesték, fehér 100, EAN: 5996281027308</t>
  </si>
  <si>
    <t>Hő, hang- vízszigetelések</t>
  </si>
  <si>
    <t>Talajnedvesség elleni szigetelés 2 rtg O-V 4 T/K bit. lemez</t>
  </si>
  <si>
    <t>0,15 mm PE fólia technológiai szigetelés</t>
  </si>
  <si>
    <t>Attikafal hő, pára és csapadékvíz elleni szigetelése</t>
  </si>
  <si>
    <t>Leesés elleni védőfelszereléshez
kikötési pont beépítése</t>
  </si>
  <si>
    <t>3.1.1. Építészet-szerkezet</t>
  </si>
  <si>
    <t>3.1.2. Épületgépészet</t>
  </si>
  <si>
    <t>3.1. Üzemviteli épület</t>
  </si>
  <si>
    <t>Csúszásmentes kialakítású, vasbeton alépítményű tereplépcső készítése C30/37-XC4-XF3-32-F2 betonból,  1:3 rézsűben elhelyezve, 3 helyen</t>
  </si>
  <si>
    <t>Tereplépcsők két oldalán rézsűburkolat készítése betonba ágyazott vízépítési terméskőből minimálisan 1,5-1,5 m szélességben</t>
  </si>
  <si>
    <t>Tereplépcsőkön elhajtható megoldású 1 soros acélkorlát készítése és elhelyezése utólagos dűbeles rögzítéssel, korrózióálló felületvédelemmel ellátva</t>
  </si>
  <si>
    <t xml:space="preserve">Lapvízmérce készítése 1:3 rézsűhöz igazítva állítható kivitelben VIZIG előírásai szerint, U220-as acéltartókkal, összekötőcsavarokkal, keményfa betétpallóval, zománcozott, 2 cm osztású vízmércelappal, tartólábakat befogó betontömbökkel; a felvízi, a medencei és az alvízi oldalon </t>
  </si>
  <si>
    <t>Vízmércés tereplépcsők két oldalán rézsűburkolat készítése betonba ágyazott vízépítési terméskőből minimálisan 1,5-1,5 m szélességben</t>
  </si>
  <si>
    <t>Vízmércés tereplépcsőkön elhajtható megoldású 1 soros acélkorlát készítése és elhelyezése utólagos dűbeles rögzítéssel, korrózióálló felületvédelemmel ellátva</t>
  </si>
  <si>
    <t>Töltés-keresztmetszet oszlopok (szelvénykövek) elhelyezése 200 m-ként</t>
  </si>
  <si>
    <t>Tulajdoni jelzőoszlopok (birtokhatár kövek) elhelyezése</t>
  </si>
  <si>
    <t>Kerékpár áthajtást biztosító sorompók</t>
  </si>
  <si>
    <t>Csúszásmentes kialakítású, vasbeton alépítményű tereplépcső és vízmérce alap készítése C30/37-XC4-XF3-32-F2 betonból, 1:3 rézsűben elhelyezve; a felvízi, a medencei és az alvízi oldalon, 3 helyen</t>
  </si>
  <si>
    <t>Tétel tartalma</t>
  </si>
  <si>
    <t>Menny.</t>
  </si>
  <si>
    <t>Egys.</t>
  </si>
  <si>
    <t>Tételszám</t>
  </si>
  <si>
    <t>3.1.3. Elektromos ellátás</t>
  </si>
  <si>
    <t>Pajzslemezbe beépített záró és futófelület rozsdamentes anyagból. A beépítés a kontakt korrózió kizárásával készüljön. Szerelés szállítás idejére a felület sérülés mentes védelmének biztosításával.A pajzslemez futófelületének anyga KO 33 (MSZEN 10088) Készül:1 készlet</t>
  </si>
  <si>
    <t>Szegmens pajzs és küszöbgyártása és szerelése, szerkezeti acélból, kivéve pajzslemez rozsdamentes zárófelülete. Hegesztett szerkezet, a betonnal nem érintkező felületein korrózióvédelemmel. Villamos fűtőberendezés beszerelhetőségének a biztosításával.Anyaga:S 235 JRG2(MSZ EN10025) Pajzs futófelülete:KO 33 (MSZ EN 10088) Elsődlegesen bebetonozott szerkezethez állítócsavaros rögzítéssel.Szerelés betonozás idejére ideiglenes merevítővel ellátva. Készül: 1 készlet</t>
  </si>
  <si>
    <t>Acélszerkezetű szegmenstábla gyártása szerkezeti acélból, szerelése, korrózió-védelemmel. A szegmenstábla a vízzáró lemezzel egybeépített szekrénytartóból és azzal mereven összeépített 2 db szegmenskarból áll. A merevítését vízszintes bordák, és függőleges helyzetű diafragmák biztosítják. A szerkezet hegesztéssel, és a szükség szerint illesztett csavaros kapcsolatokkal készül. Anyaga:S 235 JRG2(MSZEN10025).Gyártelepi gyártás, összeállítás, helyszíni összeszerelés.Rugalmas profilgumi anyagú tömítés szerelése, rozsdamentes rögzítőelemekkel. Szegmenstábla mozgatás közbeni vezetését biztosító rugós oldal-vezető rozsdamentes görgők szerelése. Készül 1 készlet</t>
  </si>
  <si>
    <t xml:space="preserve">Szegmens pajzs és küszöb beállításához és rögzítéséhez lemezes szerkezet gyártása betonkarmokkal, elhelyezése a műtárgy zsaluzatába.Anyaga:S 235 JRG2(MSZ EN10025) A műtárgy hézagainak megfelelő toldásokkal, 1 készlet </t>
  </si>
  <si>
    <t>Reteszelés mozgató berendezésének beszerzése, gyártása, beépítése:</t>
  </si>
  <si>
    <t>Uszadékterelő acélfal (5600x2500mm) rácsos szerkezetű főtartókkal, 12 mm vastag acéllemezzel kialakítva, vasbeton falakhoz rögzített acél fogadószerkezettel, elektromechanikus és kézi mozgatásra is alkalmas kivitelben,  S235-JR minőségű acélszelvényekből, korróziógátló felületkezeléssel, készül 1 helyen</t>
  </si>
  <si>
    <t>1.1.1. Építészet-szerkezet</t>
  </si>
  <si>
    <t>Alépítményi munkák</t>
  </si>
  <si>
    <t>Földvisszatöltés munkagödörbe tömörítéssel</t>
  </si>
  <si>
    <r>
      <t>Homokos kavics talajjavító réteg beépítése műtárgy alá, réteges elterítéssel, gépi tömörítéssel T</t>
    </r>
    <r>
      <rPr>
        <vertAlign val="subscript"/>
        <sz val="12"/>
        <rFont val="Times New Roman"/>
        <family val="1"/>
        <charset val="238"/>
      </rPr>
      <t>rϑ</t>
    </r>
    <r>
      <rPr>
        <sz val="12"/>
        <rFont val="Times New Roman"/>
        <family val="1"/>
        <charset val="238"/>
      </rPr>
      <t>=90%-ra tömörítve</t>
    </r>
  </si>
  <si>
    <t>Helyszíni beton és vasbeton munkák munkák</t>
  </si>
  <si>
    <t>Szerelőbeton készítése 10 cm vastagságig C8/10-XN(H)-16-F2 min. betonból</t>
  </si>
  <si>
    <t>Lemezalap betonozása
C30/37-XC2-XF3-16-F2 minőségű betonból</t>
  </si>
  <si>
    <t>Vasbeton falak betonozása
C30/37-XC4-XF1-16-F2 minőségű betonból</t>
  </si>
  <si>
    <r>
      <t xml:space="preserve">Betonacél szerelése B500 (B60.50) minőségű acélból </t>
    </r>
    <r>
      <rPr>
        <sz val="12"/>
        <rFont val="Symbol"/>
        <family val="1"/>
        <charset val="2"/>
      </rPr>
      <t>f</t>
    </r>
    <r>
      <rPr>
        <sz val="12"/>
        <rFont val="Times New Roman"/>
        <family val="1"/>
        <charset val="238"/>
      </rPr>
      <t>8-14 átmérővel</t>
    </r>
  </si>
  <si>
    <t>Zsaluzás és állványozás</t>
  </si>
  <si>
    <r>
      <t>Fa fedélszerkezet fűrészerlt fából, bedolgozott fa 0,31-.036 m</t>
    </r>
    <r>
      <rPr>
        <vertAlign val="superscript"/>
        <sz val="12"/>
        <rFont val="Times New Roman"/>
        <family val="1"/>
        <charset val="238"/>
      </rPr>
      <t>3</t>
    </r>
    <r>
      <rPr>
        <sz val="12"/>
        <rFont val="Times New Roman"/>
        <family val="1"/>
        <charset val="238"/>
      </rPr>
      <t>/m</t>
    </r>
    <r>
      <rPr>
        <vertAlign val="superscript"/>
        <sz val="12"/>
        <rFont val="Times New Roman"/>
        <family val="1"/>
        <charset val="238"/>
      </rPr>
      <t>2</t>
    </r>
    <r>
      <rPr>
        <sz val="12"/>
        <rFont val="Times New Roman"/>
        <family val="1"/>
        <charset val="238"/>
      </rPr>
      <t>, láng-, gomba- és rovarmentesítéssel</t>
    </r>
  </si>
  <si>
    <t>Kerámia padlóburkolat csúszásmentes, kőporcelán fagyálló lapokból</t>
  </si>
  <si>
    <t>Falburkolat készítése kőporcelán fagyálló lapokból</t>
  </si>
  <si>
    <t>Földkiemelés munkagödörből tömörítéssel</t>
  </si>
  <si>
    <r>
      <t>Tervezett üzemviteli épületben kialakítandó 0,4 kV-os főelosztó berendezés önhordó lemezkivitel 2000x…x500 mm méretben, alatta kábelcsatornával, réz gyűjtősínnel. U</t>
    </r>
    <r>
      <rPr>
        <vertAlign val="subscript"/>
        <sz val="12"/>
        <color indexed="8"/>
        <rFont val="Times New Roman"/>
        <family val="1"/>
        <charset val="238"/>
      </rPr>
      <t>névl.</t>
    </r>
    <r>
      <rPr>
        <sz val="12"/>
        <color indexed="8"/>
        <rFont val="Times New Roman"/>
        <family val="1"/>
        <charset val="238"/>
      </rPr>
      <t>=3x230/400 V, I</t>
    </r>
    <r>
      <rPr>
        <vertAlign val="subscript"/>
        <sz val="12"/>
        <color indexed="8"/>
        <rFont val="Times New Roman"/>
        <family val="1"/>
        <charset val="238"/>
      </rPr>
      <t>n</t>
    </r>
    <r>
      <rPr>
        <sz val="12"/>
        <color indexed="8"/>
        <rFont val="Times New Roman"/>
        <family val="1"/>
        <charset val="238"/>
      </rPr>
      <t>=630 A, I</t>
    </r>
    <r>
      <rPr>
        <vertAlign val="subscript"/>
        <sz val="12"/>
        <color indexed="8"/>
        <rFont val="Times New Roman"/>
        <family val="1"/>
        <charset val="238"/>
      </rPr>
      <t>zf</t>
    </r>
    <r>
      <rPr>
        <sz val="12"/>
        <color indexed="8"/>
        <rFont val="Times New Roman"/>
        <family val="1"/>
        <charset val="238"/>
      </rPr>
      <t>= 12,5 kA, f=50 Hz, többmezős kialakításban</t>
    </r>
  </si>
  <si>
    <r>
      <t>Üzemi betápláló cella, motoros megszakítóval, automatikus átkapcsoláshoz 3 db 4x240 mm</t>
    </r>
    <r>
      <rPr>
        <vertAlign val="superscript"/>
        <sz val="12"/>
        <color indexed="8"/>
        <rFont val="Times New Roman"/>
        <family val="1"/>
        <charset val="238"/>
      </rPr>
      <t>2</t>
    </r>
    <r>
      <rPr>
        <sz val="12"/>
        <color indexed="8"/>
        <rFont val="Times New Roman"/>
        <family val="1"/>
        <charset val="238"/>
      </rPr>
      <t xml:space="preserve"> tápkábel fogadása</t>
    </r>
  </si>
  <si>
    <r>
      <t>Tartalék betápláló cella, motoros megszakítóval, automatikus átkapcsoláshoz 2 db 4x150 mm</t>
    </r>
    <r>
      <rPr>
        <vertAlign val="superscript"/>
        <sz val="12"/>
        <color indexed="8"/>
        <rFont val="Times New Roman"/>
        <family val="1"/>
        <charset val="238"/>
      </rPr>
      <t>2</t>
    </r>
    <r>
      <rPr>
        <sz val="12"/>
        <color indexed="8"/>
        <rFont val="Times New Roman"/>
        <family val="1"/>
        <charset val="238"/>
      </rPr>
      <t xml:space="preserve"> tápkábel fogadása</t>
    </r>
  </si>
  <si>
    <t>8 db 40 kW-os irányváltós motoros mágneskapcsolós leágazás 1 fázisban ampermérővel, 3 állású üzemmódkapcsolóval, nyomógombokkal, fáziskimaradás érzékelővel</t>
  </si>
  <si>
    <t>7 db 3 kW-os irányváltós motoros mágneskapcsolós leágazás, kétlámpás üzemállapotjelzés, 3 állású üzemmódkapcsolóval, nyomógombokkal, fáziskimaradás érzékelővel</t>
  </si>
  <si>
    <t>2 db 23 kW-os motoros mágneskapcsolós leágazás, kétlámpás üzemállapotjelzés, 3 állású üzemmódkapcsolóval, nyomógombokkal, fáziskimaradás érzékelővel</t>
  </si>
  <si>
    <t>2 db 15 kW-os motoros mágneskapcsolós leágazás, kétlámpás üzemállapotjelzés, 3 állású üzemmódkapcsolóval, nyomógombokkal, fáziskimaradás érzékelővel</t>
  </si>
  <si>
    <t>4 db max. 25 kW-os fagymentesítő fűtést biztosító leágazás, mágneskapcsolóval, kétlámpás üzemállapotjelzéssel, 3 állású üzemmódkapcsolóval, nyomógombbal</t>
  </si>
  <si>
    <t>6 db max. 15 kW-os energiaigényű alelosztó kitáplálási leágazása, biztosító, kézi ki/be kapcsoló</t>
  </si>
  <si>
    <t>3 db 3x16A-es leágazás, ki/be kapcsolóval</t>
  </si>
  <si>
    <t>0,4 kV-os főelszotó összesen</t>
  </si>
  <si>
    <t>klt.</t>
  </si>
  <si>
    <t>Szabadtéri 0,4kV-os elosztóberendezés a megépítésre kerülő egy gépes kút részére IP66 védettségű szekrényekbe</t>
  </si>
  <si>
    <t>Szabadtéri 0,4kV-os elosztóberendezés a megépítésre kerülő két gépes szennyvízátemelő részére IP66 védettségű szekrényekbe</t>
  </si>
  <si>
    <t>2 db hét áramkörös kisautomata tábla az installációs hálózat részére az üzemviteli épület földszinti és emeleti szintjein</t>
  </si>
  <si>
    <t>17 db gép mellé telepítendő helyi működtető illetve sorozatkapocs szekrény, nyomógombal, tiltókapcsolóval. IP 66 védettségű</t>
  </si>
  <si>
    <t>2 db sorozatkapocs szekrény a figyelő kutakhoz telepítve a mérésekhez szükséges készülékek elhelyezésére IP66-os védettséggel</t>
  </si>
  <si>
    <t>Beltéri világítás 2x36 W-os fénycsöves lámpatesttel</t>
  </si>
  <si>
    <t xml:space="preserve">Kompakt fénycsöves 23 W-os lámpatest </t>
  </si>
  <si>
    <t xml:space="preserve">Beépített Ni-Cd akkumulátorral rendelkező kompakt fénycsöves lámpatest </t>
  </si>
  <si>
    <t xml:space="preserve">Világítási kapcsolók és 230 V-os dugaszoló aljzatok </t>
  </si>
  <si>
    <t>4,2 m fénypontmagasságú, acéloszlopos, térvilágítási lámpatest 1x100 W-os lámpafejjel</t>
  </si>
  <si>
    <r>
      <t>4x50mm</t>
    </r>
    <r>
      <rPr>
        <vertAlign val="superscript"/>
        <sz val="12"/>
        <color indexed="8"/>
        <rFont val="Times New Roman"/>
        <family val="1"/>
        <charset val="238"/>
      </rPr>
      <t>2</t>
    </r>
    <r>
      <rPr>
        <sz val="12"/>
        <color indexed="8"/>
        <rFont val="Times New Roman"/>
        <family val="1"/>
        <charset val="238"/>
      </rPr>
      <t xml:space="preserve"> keresztmetszetű réz erű földkábel</t>
    </r>
  </si>
  <si>
    <r>
      <t>4x16mm</t>
    </r>
    <r>
      <rPr>
        <vertAlign val="superscript"/>
        <sz val="12"/>
        <color indexed="8"/>
        <rFont val="Times New Roman"/>
        <family val="1"/>
        <charset val="238"/>
      </rPr>
      <t>2</t>
    </r>
    <r>
      <rPr>
        <sz val="12"/>
        <color indexed="8"/>
        <rFont val="Times New Roman"/>
        <family val="1"/>
        <charset val="238"/>
      </rPr>
      <t xml:space="preserve"> keresztmetszetű réz erű földkábel</t>
    </r>
  </si>
  <si>
    <r>
      <t>4x10mm</t>
    </r>
    <r>
      <rPr>
        <vertAlign val="superscript"/>
        <sz val="12"/>
        <color indexed="8"/>
        <rFont val="Times New Roman"/>
        <family val="1"/>
        <charset val="238"/>
      </rPr>
      <t>2</t>
    </r>
    <r>
      <rPr>
        <sz val="12"/>
        <color indexed="8"/>
        <rFont val="Times New Roman"/>
        <family val="1"/>
        <charset val="238"/>
      </rPr>
      <t xml:space="preserve"> keresztmetszetű réz erű földkábel</t>
    </r>
  </si>
  <si>
    <t xml:space="preserve">Kábelárok ásás 0,6 m szélességben 0,7 m mélységben homokágy készítés, fedőtégla elhelyezse, jelzőszalag valamint védőcső kábel mechanikai védelmére, közmű keresztezésnél </t>
  </si>
  <si>
    <r>
      <t>Installcáiós hálózat vezetékezése 2,5 mm</t>
    </r>
    <r>
      <rPr>
        <vertAlign val="superscript"/>
        <sz val="12"/>
        <color indexed="8"/>
        <rFont val="Times New Roman"/>
        <family val="1"/>
        <charset val="238"/>
      </rPr>
      <t>2</t>
    </r>
    <r>
      <rPr>
        <sz val="12"/>
        <color indexed="8"/>
        <rFont val="Times New Roman"/>
        <family val="1"/>
        <charset val="238"/>
      </rPr>
      <t xml:space="preserve"> réz erű vezetékkel MÜ I-es védőcsőbe, süllyesztetten szerelve (egyszeres hossz)  </t>
    </r>
  </si>
  <si>
    <t>A mérőkörök tápellátása az üzemviteli épületben:  230VAC + 12/24VDC táp + akkumulátor földkábelen kitáplálva</t>
  </si>
  <si>
    <t xml:space="preserve">Fagymentesítés automatikájához hőmérséklet érzékelés. </t>
  </si>
  <si>
    <r>
      <t>7x2,5 mm</t>
    </r>
    <r>
      <rPr>
        <vertAlign val="superscript"/>
        <sz val="12"/>
        <color indexed="8"/>
        <rFont val="Times New Roman"/>
        <family val="1"/>
        <charset val="238"/>
      </rPr>
      <t xml:space="preserve">2 </t>
    </r>
    <r>
      <rPr>
        <sz val="12"/>
        <color indexed="8"/>
        <rFont val="Times New Roman"/>
        <family val="1"/>
        <charset val="238"/>
      </rPr>
      <t>réz erű árnyékolt, mechanikai védelemmel ellátott, földbe fektetett kábel a terepi műszerek és a központi diszpécser helyiség között</t>
    </r>
  </si>
  <si>
    <t xml:space="preserve">Az üzemviteli épületben kialakítandó diszpécser berendedzései: a terepi műszerek kábeleit fogadó sorozatkapocs szekrény, a jeleket feldolgozó az adot feladathoz illesztett PLC, felprogramozva. PLC-vel való kommunikációra asztali számítógép kompletten  a technológiai folyamatábrát és paraméterket megjelenítő SW-el, monitor, nyomtató (mind HW és SW tekintetében a jelenlegi rendszerekkel kompromisszum mentesen kompatibilsen). </t>
  </si>
  <si>
    <t xml:space="preserve">Második számítógép, mely a tervezett technológiától függetlenül az ipari TV hálózat jelforgalmát és vizuális kapcsolatát biztosítja. </t>
  </si>
  <si>
    <t>Ethernet alapú hálózati kapcsolat kiépítése a diszpécser és a szavai gépház (raktár) között</t>
  </si>
  <si>
    <t>Hajózási tájékoztatást biztosító PannonRIS rendszer telepítése, amely a hajózással kapcsoltos szolgáltatásokról ad tájékoztatást, valamint közforgalmú kikötők, hajózási létesítmények VHF sávú rádiós rendszerének kiépítése amely a hajó és a zsilipkezelő közötti kommunikációt biztosítja. A PannonRIS rendszerhez történő kapcsolódás interneten keresztül történik. Az üzemviteli helyiségben kell telepíteni a hajózási rádióállomást és az un. RIS munkaállomást (asztali PC)</t>
  </si>
  <si>
    <t>RIS rendszer PC konfigurációja: Minimum 4. gen i5-4XXX, Min:16GB RAM, Min.: 120GB HDD, Videókártya: 2 fullHD monitor egyidejű kezelésére alkalmas DVI vagy HDMI vagy DP interface, minimum 1 db Gigabit Ethernet, billentyűzet, egér, WIN10, irodai alkalmazások, nyomtató.</t>
  </si>
  <si>
    <t xml:space="preserve">  Hűtés</t>
  </si>
  <si>
    <t>Mint előző tétel, de
Ø25 PE</t>
  </si>
  <si>
    <t>Felirati tábla 30x10 cm</t>
  </si>
  <si>
    <r>
      <t>HŰtőrendszerek beszabályozása, üzembe helyezése max. 14-22 kW</t>
    </r>
    <r>
      <rPr>
        <sz val="12"/>
        <color indexed="8"/>
        <rFont val="Times New Roman"/>
        <family val="1"/>
        <charset val="238"/>
      </rPr>
      <t xml:space="preserve"> teljesítménnyel</t>
    </r>
  </si>
  <si>
    <t>Munkagödörből föld kiemelése bármely konzisztenciájú, I.-IV. fejtési osztályú talajban, dúcolt munkaárokból, géppel-kézzel meglévő terepszint, és munkagödör tervezett alsó síkja között.</t>
  </si>
  <si>
    <t xml:space="preserve">Földmunkák a körberéselt munkagödrökre, elő- és utófenékre, valamint az utóbbiakhoz tartozó kőszórásokhoz szükséges földkiemelésekre vonatkoznak </t>
  </si>
  <si>
    <t>3.2. Víziközművek</t>
  </si>
  <si>
    <t>2. Árvízvédelmi létesítmények, meder áttöltés, mederátvágás</t>
  </si>
  <si>
    <t>2.1. Nagytömegű földmunkák, töltésépítés</t>
  </si>
  <si>
    <t>2.1.1. Irtás, előkészítő és nagytömegű földmunka (kitermelendő mennyiségek)</t>
  </si>
  <si>
    <t>2.1.2. Vízépítési kőmű-,földmű-, töltés építés és partrendezés (Beépítendő  anyagmennyiségek)</t>
  </si>
  <si>
    <t>4.1. Talajvízfigyelő kutak</t>
  </si>
  <si>
    <t>4.4. Irányítástechnika</t>
  </si>
  <si>
    <t>Földmunkák, munkatérhatárolás</t>
  </si>
  <si>
    <t>Vasbeton köpenyfal készítése vasbeton falszerkezet víz felőli oldalán 60 cm vastagságban C45/55-XC4-XV2(H)-XK4(H)-32-F2 minőségű betonból, védőcsövezéssel</t>
  </si>
  <si>
    <t>zsaluzás egyoldali sík zsaluzattal</t>
  </si>
  <si>
    <t xml:space="preserve">Üzemi hálózati betáplálás leágazó oszlopkapcsoló, 22kV-os kábelhálózat, 22kV/0,4kV 400kVA tr. állomás (áramszolgáltató építi) </t>
  </si>
  <si>
    <t>Tartalék betáplálás leágazásának kiépítése a meglévő 23264 sz. tr. Állomás 0,4kV-os elosztójába (áramszolgáltató építi)</t>
  </si>
  <si>
    <r>
      <t>Üzemi betáplálás 0,4kV-os tápkábel hálózata 4x240mm</t>
    </r>
    <r>
      <rPr>
        <vertAlign val="superscript"/>
        <sz val="12"/>
        <color indexed="8"/>
        <rFont val="Times New Roman"/>
        <family val="1"/>
        <charset val="238"/>
      </rPr>
      <t xml:space="preserve">2 </t>
    </r>
    <r>
      <rPr>
        <sz val="12"/>
        <color indexed="8"/>
        <rFont val="Times New Roman"/>
        <family val="1"/>
        <charset val="238"/>
      </rPr>
      <t>réz erű földkábel.</t>
    </r>
  </si>
  <si>
    <r>
      <t>Tartalék betáplálás 0,4kV-os tápkábel hálózata 4x150mm</t>
    </r>
    <r>
      <rPr>
        <vertAlign val="superscript"/>
        <sz val="12"/>
        <color indexed="8"/>
        <rFont val="Times New Roman"/>
        <family val="1"/>
        <charset val="238"/>
      </rPr>
      <t xml:space="preserve">2 </t>
    </r>
    <r>
      <rPr>
        <sz val="12"/>
        <color indexed="8"/>
        <rFont val="Times New Roman"/>
        <family val="1"/>
        <charset val="238"/>
      </rPr>
      <t>réz erű földkábel.</t>
    </r>
  </si>
  <si>
    <t>Duna alatti irányított fúrás készítése acél védőcsővel</t>
  </si>
  <si>
    <t>Üzemi és tartalék csatlakozási pontokon elszámolási villamos fogyasztásmérés kialakítása.</t>
  </si>
  <si>
    <t>Villamosenergia ellátás a torkolati műig</t>
  </si>
  <si>
    <t>Tokszerkezet gyártása, és szerelése
Hegesztett, bordákkal merevített  lemezes szerkezet, S235 JR min. acélból, az acél alapanyagú  futófelületekkel, és  az ékes kialakítású zárófelületekkel  együtt. 
Készül 2 db</t>
  </si>
  <si>
    <t>Hegesztett lemezszerkezetű,  S235 JR anyagminőségű, gépi, ill. kézi mozgatású elzárótábla, felszerelt EPDM tömítésekkel, a tömítéseket leszorító lemezekkel, a szükséges kötőelemekkel, emelő orsópárral kompletten.
Készül  2 db</t>
  </si>
  <si>
    <t xml:space="preserve">Elzáró táblák nyitását – zárását biztosító mozgató berendezés gyártása, szerelése.
Hajtómű, kúpkerekes fokozóművek, - melyek közül az egyik össze van építve a hajtóművel, tengelykapcsoló,  tengely,  kompletten.
Melegen hengerelt idomacélból hegesztett kialakítású  alátámasztó állvány.
Hajtómű típusa: AUMA NORM SA 16.1/F16
A gépészeti elemek rozsdamentes 1.4301 min. acélból készülnek                                                         
Készül 2 db   
</t>
  </si>
  <si>
    <t>Vasbeton fal készítése 1 m-nél nagyobb, változó vastagságban C30/37-XC4-XV2(H)-32-F2 minőségű betonból, speciális (betontechnológus által meghatározott) kivitelezési technológiával, hűtéssel, védőcsövezéssel gépészeti és villamossági kábelek elhelyezéséhez, vízzáró szakaszolással, munkahézag képzéssel.</t>
  </si>
  <si>
    <t>6-os tétel zsaluzása egyoldali íves zsaluzattal</t>
  </si>
  <si>
    <t>Torkolati műtárgy, egyéb lakatos munkák</t>
  </si>
  <si>
    <t>Háttámaszos acéllétra  készítése 4,15m-es szintkülönbség áthidalására  S235 J0 minőségű acélból, vasbeton szerkezethez utólag dübellel rögzítve, korrozióvédő bevonattal 100kg/db</t>
  </si>
  <si>
    <t>Háttámaszos acéllétra  készítése 4,7m-es szintkülönbség áthidalására  S235 J0 minőségű acélból, vasbeton szerkezethez utólag dübellel rögzítve, korrozióvédő bevonattal 115kg/db</t>
  </si>
  <si>
    <t>Háttámaszos acéllétra  készítése 4,3m-es szintkülönbség áthidalására  S235 J0 minőségű acélból, vasbeton szerkezethez utólag dübellel rögzítve, korrozióvédő bevonattal 105kg/db</t>
  </si>
  <si>
    <t>Háttámaszos acéllétra  készítése 3,00m-es szintkülönbség áthidalására  S235 J0 minőségű acélból, vasbeton szerkezethez utólag dübellel rögzítve, korrozióvédő bevonattal 75kg/db</t>
  </si>
  <si>
    <t>800x800 fedlap készítése bebetonozandó szögvas kerettel, S235 J0 minőségű acélból, korrozióvédő bevonattal 80kg/db</t>
  </si>
  <si>
    <t>3 sávos korlát készítése torkolati műtárgy 117,10 mBf, vagy afölött épülő részein, teljes kerületen, Ø33,7x3,2 fogódzóval és láblécekkel, 50x50x5 zártszelvényű oszlopokkal, dűbeles rögzítéssel, S235J0 minőségű acélból,  korrozióvédő bevonattal ellátott</t>
  </si>
  <si>
    <t>Vízellátás csatornázás</t>
  </si>
  <si>
    <t>Mint előző tétel, de                                      Ø 25x2,5</t>
  </si>
  <si>
    <t>Mint előző tétel, de                                      Ø 32x3</t>
  </si>
  <si>
    <t>Mint előző tétel, de                                      Ø 40x4</t>
  </si>
  <si>
    <t>Mint előző tétel, de                                      Ø 50x4,5</t>
  </si>
  <si>
    <t>Mint előző tétel, de                                      Ø 63x6</t>
  </si>
  <si>
    <t>Mint előző tétel, de zuhanytálcával bűzelzáróval</t>
  </si>
  <si>
    <t>berendezés</t>
  </si>
  <si>
    <t>Alsó kiömlésű WC berendezés az alábbi tartozékokkal.
Félporcelán monoblokk WC csésze (4044 sz.) leerősítő csavarokkal, gumi ütközökkel, belső lefolyóval, PVC öblítővel, gumi tölcsérrel, felszerelve, fedeles műanyag ülőkével, vízöblítő tartállyal (4846 sz) tartalék elzáró szeleppel 1/2"</t>
  </si>
  <si>
    <t>Csatorna tönk öntöttvasból, nyári fedővel (MSZ14150) 3mm vtg. Lágy PVC műanyag ágyazással, szigetelő gallérral, kátrányozva, padozatba építve                  160x160</t>
  </si>
  <si>
    <t>Mint előző tétel,de                                             1"</t>
  </si>
  <si>
    <t>Folyadék mennyiségmérő, hitelesítve menetes kötéssel felszerelve,                  átmérő 40 mm</t>
  </si>
  <si>
    <t>Mint előző tétel, de                                   D125 PVC</t>
  </si>
  <si>
    <t>Mint előző tétel, de                                   D110 PVC</t>
  </si>
  <si>
    <t>Csatorna kilevegőztető idom a tetőfödémen történő gyártócégi átvezető elemmel
D50</t>
  </si>
  <si>
    <r>
      <t>Tölcsér készítése műanyagból D63 PVC elvezető csővel
D63/</t>
    </r>
    <r>
      <rPr>
        <sz val="12"/>
        <color indexed="8"/>
        <rFont val="Symbol"/>
        <family val="1"/>
        <charset val="2"/>
      </rPr>
      <t>Æ</t>
    </r>
    <r>
      <rPr>
        <sz val="12"/>
        <color indexed="8"/>
        <rFont val="Times New Roman"/>
        <family val="1"/>
        <charset val="238"/>
      </rPr>
      <t>200 mm
L = 150 mm</t>
    </r>
  </si>
  <si>
    <t>Fix csőtartók, csőbilincsek, függesztő szerkezetek egyedi, helyszíni gyártással, KO33 idomacélból, hegesztett és csavaros kötésekkel
1,01 - 2,01 kg/db</t>
  </si>
  <si>
    <t>Zománcozott felirati tábla, két sorban rögzítéssel (igény szerint)</t>
  </si>
  <si>
    <t>Automatikus légtelenítő és légbefúvó szelep hideg vízvezetékbe
1/2"</t>
  </si>
  <si>
    <t>Jelzőgyűrű és áramlási nyíl felfestése csővezetékre, szabályos színezéssel</t>
  </si>
  <si>
    <r>
      <t xml:space="preserve">Ivóvízvezeték nyomáspróbája, vízzel átmosása és fertőtlenítése </t>
    </r>
    <r>
      <rPr>
        <sz val="12"/>
        <color indexed="8"/>
        <rFont val="Symbol"/>
        <family val="1"/>
        <charset val="2"/>
      </rPr>
      <t>Æ</t>
    </r>
    <r>
      <rPr>
        <sz val="12"/>
        <color indexed="8"/>
        <rFont val="Times New Roman"/>
        <family val="1"/>
        <charset val="238"/>
      </rPr>
      <t>18 - 1 1/4"</t>
    </r>
  </si>
  <si>
    <t>PVC-KG lefolyócső vezeték, P1 nyomásfokozatú, tokos gumigyűrűs kötéssel, szabadon, falhoronyban és padozat alatt szerelve ; D40</t>
  </si>
  <si>
    <t xml:space="preserve">Mint előző tétel, de D50
</t>
  </si>
  <si>
    <t>Mint előző tétel, de D63</t>
  </si>
  <si>
    <t>Mint előző tétel, de D110</t>
  </si>
  <si>
    <t>Mint előző tétel, de D125</t>
  </si>
  <si>
    <t>Mint előző tétel, de D150</t>
  </si>
  <si>
    <t>Falikút berendezés hidegvízre az alábbi tartozékokkal:
Falikút acéllemezből kívül-belül fehérre tűzzománcozva egy csaplyukkal, felszerelve 206/RH sz. 1 db
PVC bűzelzáró tisztító csavarral és falirózsával falikúthoz 63/50 NÁ, P-17 típus 1 db
Kifolyószelep sárgarézből krómozva sárgaréz légbeszívóval, sárgaréz tömlőcsatlakozóval és füles csatlakozó anyával, belső rögzítésű műanyag fogantyús (REX 3) felsőrésszel, sárgaréz fali rózsával (268), 210 St sz. 1/2" 1 db
Tartalék elzáró csempeszelep sárgaréz krómozott kivitelben kupakkal és tárcsával a zárókupakon kulcsnyílás kiképzéssel, 7036 sz.  1/2" 1 db</t>
  </si>
  <si>
    <t>Mosógépszifon falba süllyesztve DN40/50, 1/2"-os légbeszívós sarokszeleppel, elektromos dugaszoló csatlakozással, nemesacél fedéllel ; Típus: HL406E</t>
  </si>
  <si>
    <t>Visszacsapó szelep belső menettel, rézcső vezetékbe szerelve tömítési elemekkel   11/4"</t>
  </si>
  <si>
    <t>Átmeneti fojtó (tű) szelep szürke vasöntvényből Normál tű - NNY 16 kézi kerékkel, menetes kötéssel  tömítésekkel,  felszerelve ivóvíz vezetékbe   1"</t>
  </si>
  <si>
    <t>Átmeneti vízszűrő ivóvízvezetékbe szűrőbetéttel, ürítővel és menetes csatlakozással vízszintes csővezetékbe szerelve
Komplett gyártócégi berendezés   2"</t>
  </si>
  <si>
    <t>Rugó terhelésű biztonsági lefúvató szelep kötési elemekkel, tömítéssel, ivóvíz vezetékbe szerelve Ple = 6 bar 11/4"</t>
  </si>
  <si>
    <t>Mint előző tétel, de 1"</t>
  </si>
  <si>
    <t>Mint előző tétel, de 3/4"</t>
  </si>
  <si>
    <r>
      <t xml:space="preserve">Gumi víztömlő </t>
    </r>
    <r>
      <rPr>
        <sz val="12"/>
        <color indexed="8"/>
        <rFont val="Symbol"/>
        <family val="1"/>
        <charset val="2"/>
      </rPr>
      <t>Æ</t>
    </r>
    <r>
      <rPr>
        <sz val="12"/>
        <color indexed="8"/>
        <rFont val="Times New Roman"/>
        <family val="1"/>
        <charset val="238"/>
      </rPr>
      <t>15/1/2"  l=20</t>
    </r>
  </si>
  <si>
    <t xml:space="preserve">Csatlakozás a telepi szennyvízhálózathoz D150 PVC </t>
  </si>
  <si>
    <t>Központi fűtés</t>
  </si>
  <si>
    <t>Mint előző tétel, de
22x1,0</t>
  </si>
  <si>
    <t>Mint előző tétel, de                                       28x1,5</t>
  </si>
  <si>
    <t>Mint előző tétel, de                                       35x1,5</t>
  </si>
  <si>
    <t>Mint előző tétel, de                                       42x1,5</t>
  </si>
  <si>
    <t>Mint előző tétel, de                                       54x1,5</t>
  </si>
  <si>
    <t>Fix csőtartók csőbilincsek, függesztő szerkezetek, egyedi, helyszíni gyártással, KO33 idomacélból, hegesztett és csavaros kötésekkel
2,01-5,00 kg/db</t>
  </si>
  <si>
    <t xml:space="preserve">Átmeneti fojtó (tű) szelep szürke vasöntvényből Normál tű - NNY 16 kézi kerékkel, menetes karmantyús kötésekkel, tömítésekkel, rézcső vezetékbe szerelve
1"
</t>
  </si>
  <si>
    <t>Mint előző tétel, de
11/4"</t>
  </si>
  <si>
    <t>Mint előző tétel, de
11/2"</t>
  </si>
  <si>
    <t>Mint előző tétel, de
2"</t>
  </si>
  <si>
    <t>1db</t>
  </si>
  <si>
    <r>
      <t>Rugó terhelésű biztonsági lefúvató szelep kötési elemekkel, tömítéssel
P</t>
    </r>
    <r>
      <rPr>
        <vertAlign val="subscript"/>
        <sz val="12"/>
        <color indexed="8"/>
        <rFont val="Times New Roman"/>
        <family val="1"/>
        <charset val="238"/>
      </rPr>
      <t>le</t>
    </r>
    <r>
      <rPr>
        <sz val="12"/>
        <color indexed="8"/>
        <rFont val="Times New Roman"/>
        <family val="1"/>
        <charset val="238"/>
      </rPr>
      <t xml:space="preserve"> = 6 bar
1 1/2"</t>
    </r>
  </si>
  <si>
    <t>Automatikus légtelenítő és légbeszívó szelep melegvíz fűtési körben
1/2"-os gömbcsappal</t>
  </si>
  <si>
    <t>Gumi víztömlő, rögzítő elemekkel
1/2" kifolyószelephez  (10m)</t>
  </si>
  <si>
    <t>Tömlő tartó nyereg acéllemezből befalazó karmokkal, felszerelve</t>
  </si>
  <si>
    <t>Nyomásmérés elemei
Feszmérő fémburkolattal, 1/2"-os alsó csatlakozással, 0-4 bar mérési határral
NÁ100
Háromjáratú feszmérőcsap feszmérő csonkkal Ø18 átkötő rézcsővel, szakaszoló csapokkal
1/2"</t>
  </si>
  <si>
    <t>Átmeneti darab hőmérőhöz sárgarézből
M20 - 1/2"</t>
  </si>
  <si>
    <t>Hőmérőcsonk acélcsőből csatlakozó karmantyúval, hegesztett kivitelben felszerelve
1/2" - 175 mm</t>
  </si>
  <si>
    <t>Radiátoros visszatérő vezetéki csap átmeneti kivitel
1/2"</t>
  </si>
  <si>
    <t>Mint előző tétel, de
22K-600-800</t>
  </si>
  <si>
    <t>Mint előző tétel, de
22K-600-600</t>
  </si>
  <si>
    <t>Mint előző tétel, de
22K-600-1200</t>
  </si>
  <si>
    <t>Mint előző tétel, de
22K-900-800</t>
  </si>
  <si>
    <t>Mint előző tétel, de
22K-600-1000</t>
  </si>
  <si>
    <t>Mint előző tétel, de
22K-600-720</t>
  </si>
  <si>
    <t>Mint előző tétel, de
22K-600-1320</t>
  </si>
  <si>
    <t>Mint előző tétel, de
21K-600-400</t>
  </si>
  <si>
    <t>Mint előző tétel, de
33K-600-800</t>
  </si>
  <si>
    <t>Mint előző tétel, de
33K-600-920</t>
  </si>
  <si>
    <t>Mint előző tétel, de
33K-600-1120</t>
  </si>
  <si>
    <t>Mint előző tétel, de
33K-600-720</t>
  </si>
  <si>
    <t>Mint előző tétel, de
33K-600-1000</t>
  </si>
  <si>
    <t>Érzékelő helyek kialakítása és beépítése az automatikai igények szerint</t>
  </si>
  <si>
    <t>Készre szerelt rézcső hálózat nyomáspróbája, átmosása és feltöltése lágyított vízzel, fűtésoldalon
NÁ50 méretig</t>
  </si>
  <si>
    <t>A fűtési kör beüzemelése, beszabályozása műszeresen a beépített szelepek segítségével 80 kW teljesítményig</t>
  </si>
  <si>
    <t>Radiátoros,  légfűtési  és HMV termelési körök beszabályozása 80 kW teljesítményig</t>
  </si>
  <si>
    <t>Zománcozott felirati tábla felszerelése 30x10 cm, 1 sor írással, igény szerint</t>
  </si>
  <si>
    <t>Mint előző tétel, de                                         Ø42 csővezetéken</t>
  </si>
  <si>
    <t>Mint előző tétel, de                                         Ø54 csővezetéken</t>
  </si>
  <si>
    <t>Mint előző tétel, de                                         osztó-gyűjtőn                                                 Ø133 ,  l=2000 mm</t>
  </si>
  <si>
    <t>Elkészült fűtési hálózatok és gépészeti berendezések műszaki átadását megelőző üzemképességi vizsgálat a tervezett fűtési és HMV rendszerek valamennyi bekötő vezetéki és gépészeti elemeire
Előirányzat</t>
  </si>
  <si>
    <t>Fekete acélcső gázvezeték hegesztett kötésekkel, szabadon szerelve, szakaszos tömörségi próbával, tartószerkezettel, bilinccsel, mázolással                                       1"</t>
  </si>
  <si>
    <t>Mint előző tétel, de                                      2"</t>
  </si>
  <si>
    <t>Eső ellen védő fix zsalu , falba épített kivitelben, alumínium lemezből      500x500</t>
  </si>
  <si>
    <t>Általános mesterséges szellőztetési rendszerek:</t>
  </si>
  <si>
    <t xml:space="preserve">Mint előző tétel, de
kültéri egység 
</t>
  </si>
  <si>
    <t>Falba építhető esőellen,védő fix. zsalu, dróthálóval, aluminium anyagú.
500x500</t>
  </si>
  <si>
    <t xml:space="preserve">Mint előző tétel, de
NÁ 200
</t>
  </si>
  <si>
    <t xml:space="preserve">Mint előző tétel,de
NÁ 160
</t>
  </si>
  <si>
    <t>Mint előző tétel, de
Elágazó idom 
Egál kivitel D=315</t>
  </si>
  <si>
    <t>Mint előző tétel, de
D=200</t>
  </si>
  <si>
    <t>Mint előző tétel, de
D=160</t>
  </si>
  <si>
    <t>90°-os ívcső                                                 NÁ315</t>
  </si>
  <si>
    <t>Mint előző tétel, de                                     NÁ200</t>
  </si>
  <si>
    <t>Mint előző tétel, de                                     NÁ160</t>
  </si>
  <si>
    <t>Mint előző tétel, de
NÁ 160</t>
  </si>
  <si>
    <t>Mint előző tétel, de
NÁ 160/300x100</t>
  </si>
  <si>
    <t>Műanyag légrács ajtóra szerelhető kivitelben
500x150</t>
  </si>
  <si>
    <r>
      <t>Ásványgyapot hőszigetelés, 150 mg/m</t>
    </r>
    <r>
      <rPr>
        <vertAlign val="superscript"/>
        <sz val="12"/>
        <color indexed="8"/>
        <rFont val="Times New Roman"/>
        <family val="1"/>
        <charset val="238"/>
      </rPr>
      <t>3</t>
    </r>
    <r>
      <rPr>
        <sz val="12"/>
        <color indexed="8"/>
        <rFont val="Times New Roman"/>
        <family val="1"/>
        <charset val="238"/>
      </rPr>
      <t xml:space="preserve"> tömési sűrűséggel, horganyzott hálóban csömöszölve, keményhéjalás nélkül a szabadon vezetett légvezetékre 7 cm vastagságban, alumínium lemez burkolással NÁ315</t>
    </r>
  </si>
  <si>
    <t>Fix csőtartók, csőbilincsek, függesztő szerkezetek, egyedi helyszíni gyártással, KO33 idomacélból, hegesztett és csavaros kötésekkel
2,01-5,00 kg/db</t>
  </si>
  <si>
    <t>Univerzális függesztőszalag légcsatornához csavarokkal</t>
  </si>
  <si>
    <t>Falon átvezetett légtechnikai csőhálózat körüli tömítő szigetelés
D315,D200, D160</t>
  </si>
  <si>
    <t>Mérőhelyek kialakítása a légszállító rendszerek beszabályozására (a kivitelező igénye szerint)</t>
  </si>
  <si>
    <r>
      <t>Légtechnikai befúvó és elszívó rendszerek beszabályozása üzembe helyezése max. 800 - 800 m</t>
    </r>
    <r>
      <rPr>
        <vertAlign val="superscript"/>
        <sz val="12"/>
        <color indexed="8"/>
        <rFont val="Times New Roman"/>
        <family val="1"/>
        <charset val="238"/>
      </rPr>
      <t>3</t>
    </r>
    <r>
      <rPr>
        <sz val="12"/>
        <color indexed="8"/>
        <rFont val="Times New Roman"/>
        <family val="1"/>
        <charset val="238"/>
      </rPr>
      <t>/h teljesítménnyel</t>
    </r>
  </si>
  <si>
    <t>Egyedi szellőztetések</t>
  </si>
  <si>
    <t>Mint előző tétel, de
NÁ150</t>
  </si>
  <si>
    <t>Mint előző tétel, de
NÁ100</t>
  </si>
  <si>
    <t>Ajtószárnyba építhető fix zsalu beépítési elemekkel
500x200</t>
  </si>
  <si>
    <t>Fali eső ellen védő fix zsalu , beépítéssel</t>
  </si>
  <si>
    <t>Tartószerkezetek
Csőtartó, függesztő szerkezetek idomacélból csavarokkal, helyszíni gyártással KO33 idomacélból hegesztve és csavaros kötésekkel
0,01-5,00 kg/db súlyig</t>
  </si>
  <si>
    <t>Univerzális függesztő szalag légcsatornához csavarokkal alumínium abroncs lemezből</t>
  </si>
  <si>
    <t>MŰHELY</t>
  </si>
  <si>
    <t>Pillangószelep állító és rögzítő szerkezettel
NÁ315</t>
  </si>
  <si>
    <r>
      <t>Légtechnikai rendszerek beszabályozása, üzembe helyezése max. 1000 m</t>
    </r>
    <r>
      <rPr>
        <vertAlign val="superscript"/>
        <sz val="12"/>
        <color indexed="8"/>
        <rFont val="Times New Roman"/>
        <family val="1"/>
        <charset val="238"/>
      </rPr>
      <t>3</t>
    </r>
    <r>
      <rPr>
        <sz val="12"/>
        <color indexed="8"/>
        <rFont val="Times New Roman"/>
        <family val="1"/>
        <charset val="238"/>
      </rPr>
      <t>/h teljesítménnyel</t>
    </r>
  </si>
  <si>
    <t>Mérőhelyek kialakítása a légszállító rendszerek beszabályozása</t>
  </si>
  <si>
    <t>Tartószerkezetek
Csőtartók, függesztő szerkezetek idomacélból csavarokkal, helyszíni gyártással KO33 idomacélból hegesztve és csavaros kötésekkel
0,01-5,00 kg/db súlyig</t>
  </si>
  <si>
    <t>kész-
let</t>
  </si>
  <si>
    <t>Mint előző tétel, de
Ø10</t>
  </si>
  <si>
    <t>Mint előző tétel, de
Ø12</t>
  </si>
  <si>
    <t>Mint előző tétel, de
Ø16</t>
  </si>
  <si>
    <t>Mint előző tétel, de
Ø20</t>
  </si>
  <si>
    <t>előző tétel zsaluzása alátámasztó állvánnyal.</t>
  </si>
  <si>
    <t>Hajókikötő bak  elhelyezése és rögzítése a funkcióból származó erőhatás felvételére alkalmas  módon vasbeton műtárgyhoz rögzítve</t>
  </si>
  <si>
    <t>Alapozási munkák</t>
  </si>
  <si>
    <t>Statikus próbaterhelés fúrt cölöpre</t>
  </si>
  <si>
    <t>Vasszerelés, cölöpök, B500B</t>
  </si>
  <si>
    <t>Alapozási szerkezetek</t>
  </si>
  <si>
    <t>Cölöpösszefogó gerendák  függőleges oldalzsaluzata</t>
  </si>
  <si>
    <t>Cölöpösszefogó gerendák betonozása, C30/37-XC2-24-F3</t>
  </si>
  <si>
    <t>Síkalapok függőleges oldalzsaluzata</t>
  </si>
  <si>
    <t>Síkalapozás betonozása, C30/37-XC2-24-F3</t>
  </si>
  <si>
    <t>Vasszerelés, alapozási szerkezetek, B500B</t>
  </si>
  <si>
    <t>Felmenő szerkezetek</t>
  </si>
  <si>
    <t>Tömör vasbeton hídfő felmenőfal és szárnyfalak kétoldali függőleges és ferde zsaluzata</t>
  </si>
  <si>
    <t>Pillérek szerkezeti gerendáinak kétoldali függőleges zsaluzata</t>
  </si>
  <si>
    <t>Tömör vasbeton hídfő felmenőfalak és szárnyfalak betonozása, C35/45-XC4-XF2-24-F3</t>
  </si>
  <si>
    <t>Pillérek szerkezeti gerendáinak betonozása, C35/45-XC4-XF2-24-F3</t>
  </si>
  <si>
    <t>Vasszerelés, felmenő szerkezetek, B500B</t>
  </si>
  <si>
    <t>4.4.1. Irányítástechnika torkolati mű</t>
  </si>
  <si>
    <t>A városi ellenőrző kutakba telepítendő önálló adatgyűjtős vízszintmérő szonda, Li-Ion-os elemmel és USB csatlakozási lehetőséggel.</t>
  </si>
  <si>
    <r>
      <t>A bácsai telepen cserélendő a meglévő rendszerhez illesztendő, nyomásmérés elvén működő szinttávadó, beépített hőmérséklet mérővel kompletten túlfeszülség védelemmel ellátott szerelődobozzal. Szerelő dobozig gyári kábellel. Szintmérés pontossága: +/- 0.1%, hőmérsékletmérés pontossága: +/- 0.1°C,  I</t>
    </r>
    <r>
      <rPr>
        <vertAlign val="subscript"/>
        <sz val="12"/>
        <color indexed="8"/>
        <rFont val="Times New Roman"/>
        <family val="1"/>
        <charset val="238"/>
      </rPr>
      <t>ki</t>
    </r>
    <r>
      <rPr>
        <sz val="12"/>
        <color indexed="8"/>
        <rFont val="Times New Roman"/>
        <family val="1"/>
        <charset val="238"/>
      </rPr>
      <t xml:space="preserve">=4..20mA </t>
    </r>
  </si>
  <si>
    <r>
      <t>A szavai gépház (raktár) és a helyi diszpécser közötti kommunikáció részére lefektetésre kerül földárokba fektetve 5x4x0,8 mm</t>
    </r>
    <r>
      <rPr>
        <vertAlign val="superscript"/>
        <sz val="12"/>
        <color indexed="8"/>
        <rFont val="Times New Roman"/>
        <family val="1"/>
        <charset val="238"/>
      </rPr>
      <t xml:space="preserve">2 </t>
    </r>
    <r>
      <rPr>
        <sz val="12"/>
        <color indexed="8"/>
        <rFont val="Times New Roman"/>
        <family val="1"/>
        <charset val="238"/>
      </rPr>
      <t>érpárú optikai kábel, védőcsőbe vezetve. behúzó aknákkal szükséges jelerősítőkkel.</t>
    </r>
  </si>
  <si>
    <t>KPE Ø80-as védőcső optikai kábel védelmére</t>
  </si>
  <si>
    <t>Behúzóakna 1m x0,8 m x 1m méretben az optikai kábel nyomvonalának töréspontjaiban</t>
  </si>
  <si>
    <t>A szavai gépháznál (raktár) kialakítandó szabadtéri kivitelű IP66 védettségű kifejtő szekrény</t>
  </si>
  <si>
    <t>4.4.2. Irányítástechnika Győr belváros felszín közeli állomás hálózat (5db)</t>
  </si>
  <si>
    <t>4.4.3. Irányítástechnika Bácsa felszíni állomás</t>
  </si>
  <si>
    <t>4.4.4. Jelforgalom a Torkolati mű és a Szavai gépház között</t>
  </si>
  <si>
    <t>Irányítástechnikát lásd a 4.4 pontnál részletezve</t>
  </si>
  <si>
    <t>3.4. Kezelő híd</t>
  </si>
  <si>
    <t>Felszerkezet</t>
  </si>
  <si>
    <t>Egy. tartókat együttdolgoztató vb. pályalemez közbenső és végkereszttartókkal, függőleges oldalzsaluzat alátámasztó segédszerkezetekkel</t>
  </si>
  <si>
    <t>Egy. tartókat együttdolgoztató vb. pályalemez közbenső és végkereszttartókkal, BETONYP lemez bennmaradó alátámasztó zsaluzat</t>
  </si>
  <si>
    <t>Egy. tartókat együttdolgoztató vb. pályalemez közbenső és végkereszttartókkal, betonozás C35/45-XC3-XD1-XF2-16-F3</t>
  </si>
  <si>
    <t>Monolit vasbeton kiemelt szegély, függőleges és ferde gerendazsaluzat alátámasztó segédszerkezetekkel</t>
  </si>
  <si>
    <t>Monolit vasbeton kiemelt szegélyek betonozása, C35/45-XC4-XD3-XF4-16-F3</t>
  </si>
  <si>
    <t>Szerelőbeton a kiegyenlítő lemezek alatt, C16/20-X0-32-F2</t>
  </si>
  <si>
    <t>Monolit vasbeton kiegyenlítő lemezek függőleges oldalzsaluzata</t>
  </si>
  <si>
    <t>Monolit vasbeton kiegyenlítő lemezek ferde zsaluzata</t>
  </si>
  <si>
    <t>Monolit vasbeton kiegyenlítő lemezek betonozása, C25/30-XC2-24-F3</t>
  </si>
  <si>
    <t>Monolit pótpadkák függőleges oldalzsaluzata</t>
  </si>
  <si>
    <t>Monolit pótpadkák betonozása, C35/45-XC4-XD3-XF4-24-F3</t>
  </si>
  <si>
    <t>Kút felső lezárása betongallérba ágyazott zárószerkezettel, nyitható, korrózióvédelemmel ellátott acélszerkezetű lefedéssel.</t>
  </si>
  <si>
    <t>A vízszint figyelő kútba elhelyezendő távadók kiírása a 4.4.1 pontban található.</t>
  </si>
  <si>
    <t>Építés idejére ideiglenesen, a munkaterületek közúti megközelíthetőségét biztosító pontonhidak létesítése a Mosoni-Dunán a Torda sziget dél-nyugati csücske és a Gönyű kikötő nyugati vége között, a mindenkori vízálláshoz igazodó fel- és lehajtókkal.  A pontonhidak teherbírása minimálisan 800 kN kell legyen a hídon közlekedő nehézgépjárművek és munkagépek közlekedési össztömegének figyelembevételével. A pontonhidak időszakos bontási lehetőséggel kell rendelkezzenek a Mosoni-Dunán történő hajóforgalom biztosítása érdekében.</t>
  </si>
  <si>
    <t>2.2. Töltés tartozékok</t>
  </si>
  <si>
    <t>Vasszerelés, felszerkezet, B500B</t>
  </si>
  <si>
    <t>Szigetelő, védő, burkolati és felületvédelmi rendszerek, dilatációs szerkezetek</t>
  </si>
  <si>
    <t>Bitumenes védelem földel takart betonfelületen</t>
  </si>
  <si>
    <t>Modifikált bitumenes lemezszigetelés (mBL)</t>
  </si>
  <si>
    <t>Szigetelést védő réteg hengerelt aszfaltból (4 cm) MA-11</t>
  </si>
  <si>
    <t>Aszfalt kötőréteg építése hídon egyetlen (7 cm) rétegben, hengerelt aszfalt AC-16 (mNM)</t>
  </si>
  <si>
    <t>Aszfalt kopóréteg építése hídon egyetlen (4 cm) rétegben, hengerelt aszfalt, AC-11 (F)</t>
  </si>
  <si>
    <t>Öntött aszfalt hídszegélyek mentén, rugalmas kiöntéssel, három rétegben (4+7+4=15 cm), MA-11</t>
  </si>
  <si>
    <t>Hídvégeken és kiegyenlítő lemez vége feletti burkolatmegszakítás rugalmas kiöntéssel, 2 cm szélességben</t>
  </si>
  <si>
    <t>Mérsékelten repedésáthidaló vékony védőbevonat, nem járható (B-3)</t>
  </si>
  <si>
    <t>Korlátozottan repedésáthidaló vastag védőbevonat, nem járható (B-4)</t>
  </si>
  <si>
    <t>Dinamikusan repedésáthidaló vastag védőbevonat, gyalog és könnyű járművel járható (B-5)</t>
  </si>
  <si>
    <t>Visszatartó rendszerek, vízelvezetési és egyéb tartozékok</t>
  </si>
  <si>
    <t>Műszaki gumicsík gerendafelfekvések alatt, 20x20x2 cm</t>
  </si>
  <si>
    <t>H2 visszatartási fokozatú vezetőkorlát (magasítással, csőtaggal) elhelyezése</t>
  </si>
  <si>
    <t>Előregyártott vizsgálólépcső (szerelőbetonnal)</t>
  </si>
  <si>
    <t>Acél védőrács, védőtető</t>
  </si>
  <si>
    <t>Acél ajtók, hágcsók korrózióvédelemmel</t>
  </si>
  <si>
    <t>Tömör hídfők mögötti szivárgópaplan, talpszivárgó kivezetéssel</t>
  </si>
  <si>
    <t>Keresztszivárgók rézsűkivezetéssel</t>
  </si>
  <si>
    <t>Burkolatszivárgó (kivezetéssel, külön előfejjel)</t>
  </si>
  <si>
    <t>Előregyártott surrantó (szerelőbetonnal, becsatlakozásánál az árok burkolásával)</t>
  </si>
  <si>
    <t>Mérőpontok a hídfőkön és a pilléreken</t>
  </si>
  <si>
    <t>Magassági alappont telepítése</t>
  </si>
  <si>
    <t>Hajóútjelző tábla elhelyezése</t>
  </si>
  <si>
    <t>Hajóútjelző lámpa elhelyezése</t>
  </si>
  <si>
    <t>Hajózási radarvisszaverő berendezés elhelyezése</t>
  </si>
  <si>
    <t>Közmű védőcső építése (lsd. másutt)</t>
  </si>
  <si>
    <t>Szerelőbeton, hídfők előtti mon. elem, C16/20-X0-32-F2</t>
  </si>
  <si>
    <t>Fenéklemez függőleges oldalzsaluzata, hídfők előtti monolit vizsgálóaknák</t>
  </si>
  <si>
    <t>Fenéklemez betonozása, hídfők előtti monolit vizsgálóaknák, C16/20-X0-32-F2</t>
  </si>
  <si>
    <t>Fal kétoldali zsaluzata, hídfők előtti monolit vizsgálóaknák</t>
  </si>
  <si>
    <t>Fal betonozása, hídfők előtti monolit vizsgálóaknák, C30/37-XC2-24-F3</t>
  </si>
  <si>
    <t>Vasszerelés, hídfők előtti monolit vizsgálóaknák</t>
  </si>
  <si>
    <t>Rézsűburkolatok (lsd. másutt)</t>
  </si>
  <si>
    <t>Folytonos spirállal készített fúrt cölöpök (CFA-cölöp) készítése (D60), C30/37-XA1-XC2-16-F5, 11,55 fm/db</t>
  </si>
  <si>
    <t>Humuszos termőréteg, termőföld leszedése gépi erővel bármilyen talajban (szállítóeszközre rakással, mozgatással és deponálással vagy elszállítással) átlag vastagság 50 cm</t>
  </si>
  <si>
    <r>
      <t>m</t>
    </r>
    <r>
      <rPr>
        <vertAlign val="superscript"/>
        <sz val="12"/>
        <rFont val="Times New Roman"/>
        <family val="1"/>
        <charset val="238"/>
      </rPr>
      <t>3</t>
    </r>
    <r>
      <rPr>
        <sz val="11"/>
        <color theme="1"/>
        <rFont val="Calibri"/>
        <family val="2"/>
        <charset val="238"/>
        <scheme val="minor"/>
      </rPr>
      <t/>
    </r>
  </si>
  <si>
    <t>Földmű vízszintes felületének rendezése gépi erővel I-IV oszt. talajban nyeséssel, elterítéssel szállítás nélkül (felesleg töltés- vagy depónia képzésével)</t>
  </si>
  <si>
    <t>Tereprendezés jellegű földmű létesítése kitermeléssel gépi erővel I-IV oszt. talajban a kitermelt talaj szállítóeszközre rakásával, elszállításával vagy deponálásával</t>
  </si>
  <si>
    <t>Tereprendezés jellegű földmű létesítése kitermeléssel gépi erővel I-IV oszt. talajban a kitermelt talaj szállítóeszközre rakásával, elszállításával vagy deponálásával (Tordai sziget talajcsere további 3,0 m vtg. ELŐIRÁNYZAT)</t>
  </si>
  <si>
    <t>Földkitermelés bevágásban (mederátvágás) I-IV oszt. Talajban, vizes talajban vagy víz alóli kitermeléssel a kitermelt talaj szállítóeszközre rakásával, elszállításával vagy deponálásával</t>
  </si>
  <si>
    <t>Rézsűképzés bevágásban gépi erővel kiegészítő kézi munkával a rézsűfelület kialakításával</t>
  </si>
  <si>
    <t>Töltésépítés (ideiglenes körtöltés és rámpák) hozott anyagból (I-IV oszt. Talaj) réteges terítéssel és tömörítéssel, rézsűképzéssel</t>
  </si>
  <si>
    <t>Kőhányás, kőszórás készítése hajóról vagy úszótagról közvetlenül beépített vízépítési terméskőből (mederáttöltés, vezetőmű)</t>
  </si>
  <si>
    <t>Bentmaradó acélszádpalló-fal készítése 12 m hosszú pallókkal, vízzáró, átlagos verési talajosztályban</t>
  </si>
  <si>
    <t>Kőszórás, kőrakat készítése vízépítési terméskőből 1:3 terephajlású rézsűs felületen profilba rendezéssel kötőanyag nélkül</t>
  </si>
  <si>
    <t>Töltésépítés  hozott anyagból vagy helyi anyag felhasználásával réteges elterítéssel és tömörítéssel SZEMCSÉS talaj</t>
  </si>
  <si>
    <t>Töltésépítés  hozott anyagból vagy helyi anyag felhasználásával réteges elterítéssel és tömörítéssel KÖTÖTT talaj</t>
  </si>
  <si>
    <t>Töltésépítés  hozott anyagból vagy helyi anyag felhasználásával réteges elterítéssel és tömörítéssel töltésalapozásra alkalmas talaj  (Tordai sziget talajcsere további 3,0 m vtg. ELŐIRÁNYZAT)</t>
  </si>
  <si>
    <r>
      <t>Töltésalapozásnál, építésnél a beépítendő anyagrétegek elválasztására geotextília fektetése (nem szőtt 400 g/m</t>
    </r>
    <r>
      <rPr>
        <vertAlign val="superscript"/>
        <sz val="12"/>
        <rFont val="Times New Roman"/>
        <family val="1"/>
        <charset val="238"/>
      </rPr>
      <t>2</t>
    </r>
    <r>
      <rPr>
        <sz val="12"/>
        <rFont val="Times New Roman"/>
        <family val="1"/>
        <charset val="238"/>
      </rPr>
      <t>)</t>
    </r>
  </si>
  <si>
    <t>Rézsűképzés töltésen gépi erővel kiegészítő kézi munkával a rézsűfelület kialakításával</t>
  </si>
  <si>
    <r>
      <t>Nyílt árok (talpárok) készítése gépi erővel kiegészítő kézi munkával 12 m</t>
    </r>
    <r>
      <rPr>
        <vertAlign val="superscript"/>
        <sz val="12"/>
        <rFont val="Times New Roman"/>
        <family val="1"/>
        <charset val="238"/>
      </rPr>
      <t>2</t>
    </r>
    <r>
      <rPr>
        <sz val="12"/>
        <rFont val="Times New Roman"/>
        <family val="1"/>
        <charset val="238"/>
      </rPr>
      <t xml:space="preserve"> szelvényméretig rézsűképzéssel</t>
    </r>
  </si>
  <si>
    <t>Humuszos termőréteg, termőföld terítés 25 cm vastagságban gépi erővel kiegészítő kézi munkával helyi anyag felhasználásával vagy hozott anyagból</t>
  </si>
  <si>
    <t>1.</t>
  </si>
  <si>
    <t>Csatlakozás meglévő D90 PE vízvezetékhez D63 PE (PN10) vízvezetékkel (DN80 tűzcsap csomópont átszereléssel)</t>
  </si>
  <si>
    <t>2.</t>
  </si>
  <si>
    <t>D63 PE (PN10) vízvezeték építése földárokban földmunkával, ágyazattal, dúcolattal, kiszoruló föld elszállítással, tömörítésekkel  átlag 1,4 m mélységben</t>
  </si>
  <si>
    <t>3.</t>
  </si>
  <si>
    <t>D63 PE (PN10) vízvezeték szerelése vasbeton védőcsatornában (védőcsatorna külön tétel)</t>
  </si>
  <si>
    <t>4.</t>
  </si>
  <si>
    <t>DN50 Házi főelzáró és/vagy szakaszoló tolózár szerelése vízvezetékre szerelvényekkel földárokban vagy védőcsatornában</t>
  </si>
  <si>
    <t>5.</t>
  </si>
  <si>
    <t>D32 PE (PN10) vízvezeték építése földárokban földmunkával, ágyazattal, dúcolattal, kiszoruló föld elszállítással, tömörítésekkel  átlag 1,2 m mélységben</t>
  </si>
  <si>
    <t>6.</t>
  </si>
  <si>
    <t>DN1" házi főelzáró önműködő ürítéssel csapszekrénnyel, beépítési készlettel</t>
  </si>
  <si>
    <t>7.</t>
  </si>
  <si>
    <t>DN1" vízkivételi hely (kerti csap) kiépítése hulladéktároló mellett</t>
  </si>
  <si>
    <t>8.</t>
  </si>
  <si>
    <t>Vezetékek nyomáspróbája és fertőtlenítése szakfelügyelettel</t>
  </si>
  <si>
    <t>D63 PE (PN10) szennyvíz nyomóvezeték csatlakozásának kiépítése meglévő csatornahálózat tisztítóaknájához (tisztítással, jókarba helyezéssel)</t>
  </si>
  <si>
    <t>D63 PE (PN10) szennyvíz nyomóvezeték építése földárokban földmunkával, ágyazattal, dúcolattal, kiszoruló föld elszállítással, tömörítésekkel  átlag 1,4 m mélységben</t>
  </si>
  <si>
    <t>D63 PE (PN10) szennyvíz nyomóvezeték szerelése vasbeton védőcsatornában (védőcsatorna külön tétel)</t>
  </si>
  <si>
    <t>DN50 öblítési csomópont szerelése szakaszoló tolózárral nyomóvezetékre szerelvényekkel aknában vagy védőcsatornában</t>
  </si>
  <si>
    <t>Monolit vasalt beton szerelvényakna építése zsaluzással, fedlappal, hágcsókkal öblítés szerelvényeinek (1,5×1,5×1,5 m belm.)</t>
  </si>
  <si>
    <t>Meglévő útburkolat bontása és helyreállítása a meglévővel azonos burkolat szerkezettel, törmelék elszállítással</t>
  </si>
  <si>
    <t>Bozót és csrejeirtás a szennyvíz nyomóvezeték nyomvonalán</t>
  </si>
  <si>
    <t>Vezetékek nyomáspróbája, szakfelügyelet</t>
  </si>
  <si>
    <t>9.</t>
  </si>
  <si>
    <t>D200 PVC-U (SN8) szennyvíz csatorna építése földárokban földmunkával, ágyazattal, dúcolattal, kiszoruló föld elszállítással, tömörítésekkel  2,0 m mélységig</t>
  </si>
  <si>
    <t>10.</t>
  </si>
  <si>
    <t>1,0 m belső átmérőjű kör alakú tisztítóakna építése földmunkával, D400 kN fedlappal, hágcsókkal 2,0 m mélységig (monolit v. előregyártott elemekből)</t>
  </si>
  <si>
    <t>11.</t>
  </si>
  <si>
    <t>Előregyártott elemekből épített víznyelő építése ö.v. víznyelő ráccsal 1,2 m mély (hulladéktartály mosó szv. elvezetése)</t>
  </si>
  <si>
    <t>Gravitációs csatornák víztartási próbája</t>
  </si>
  <si>
    <t>1,0×1,0 m belméretű vasbeton védőcsatorna (elemhossz: 3,0 m) építése előregyártott elemekből előregyártott vb. fedlap lefedéssel közművezetékek részére földmunkával szerelőbetonnal</t>
  </si>
  <si>
    <t>Monolit vasalt beton szerelvényakna építése zsaluzással, fedlappal, hágcsókkal tűzivízkivétel szerelvényeinek (3,0×2,0×1,5 m belm.)</t>
  </si>
  <si>
    <t>Tűzivízkivételi kút felszíni szerelvényeinek beépítése aknába tűzoltó tömlő csatlakozás kiépítésével</t>
  </si>
  <si>
    <t>D32 PE100/G SDR11 középnyomású földgázvezeték építése földárokban földmunkával, ágyazattal, dúcolattal, kiszoruló föld elszállítással, tömörítésekkel  átlag 1,25 m mélységben</t>
  </si>
  <si>
    <t>előir.</t>
  </si>
  <si>
    <t>3.2.1 Vízellátás</t>
  </si>
  <si>
    <t>3.2.2. Szennyvíz elvezetés</t>
  </si>
  <si>
    <t>3.2.3. Vasbeton védőcsatorna</t>
  </si>
  <si>
    <t>3.2.4. Tűzivíz ellátás</t>
  </si>
  <si>
    <t>3.2.5. Gázellátás</t>
  </si>
  <si>
    <t>Tervezett útépítés</t>
  </si>
  <si>
    <t>Úttükör készítése földmű tömörítéssel, simító hengerléssel</t>
  </si>
  <si>
    <r>
      <t>Nem szőtt geotextília (200 g/m</t>
    </r>
    <r>
      <rPr>
        <vertAlign val="superscript"/>
        <sz val="12"/>
        <rFont val="Times New Roman"/>
        <family val="1"/>
        <charset val="238"/>
      </rPr>
      <t>2</t>
    </r>
    <r>
      <rPr>
        <sz val="12"/>
        <rFont val="Times New Roman"/>
        <family val="1"/>
        <charset val="238"/>
      </rPr>
      <t>) terítése (átfedés nélkül)</t>
    </r>
  </si>
  <si>
    <t>Útalap készítése 20-30 cm vastagságban M56 mechanikai stabilizácó tömörítéssel</t>
  </si>
  <si>
    <t>Süllyesztett szegélysor (15 cm széles) készítése beton alapgerendával és megtámasztással, hézagolással</t>
  </si>
  <si>
    <t>Padka rendezés M50 mechanikai stabilizációval 10 cm vtg.-ban</t>
  </si>
  <si>
    <t>Sárrázó burkolat építése 20 cm vtg. betonba ágyazott terméskő burkolattal</t>
  </si>
  <si>
    <t>Stabilizált burkolatú út készítése (rámpák, sólyapálya lehajtók) M56 mechanikai stabilizácó tömörítéssel 20-25 cm vtg</t>
  </si>
  <si>
    <t>Kiselemes járda- vagy térburkolat készítése üzemviteli épületnél ágyazattal</t>
  </si>
  <si>
    <t>Közlekedési jelző táblák aluminium oszlopainak elhelyezése (beton alappal)</t>
  </si>
  <si>
    <t>Közlekedési táblák elhelyezése oszlopra rögzítve</t>
  </si>
  <si>
    <t>Vének-Dunaremete árvízvédelmi szakasz meglévő töltésének útburkolata</t>
  </si>
  <si>
    <t>Humuszleszedés átlag 25 cm vastagságban</t>
  </si>
  <si>
    <t>Töltéskorona helyreállítás hozott anyagból útburkolatok alatt tömörítéssel átlag 25 cm vtg.-ban</t>
  </si>
  <si>
    <t>6 cm AC11 KOPÓ aszfalt beton kopóréteg készítése bitumenemulziós permetezéssel</t>
  </si>
  <si>
    <t>400NÁ acélcső lesüllyesztése száraz technológiával, 10 m  mélységben</t>
  </si>
  <si>
    <t>D200 KM PVC szűrőcső előre elkészített szitaszövetes szűrővé alakított szakasszal 10 m mélységben</t>
  </si>
  <si>
    <t>Perforált, 0,3mm műanyag szitaszövet</t>
  </si>
  <si>
    <t>Zárható csősapka</t>
  </si>
  <si>
    <t>A lyuktalptól a szűrő felett 0,5m -ig 1-2mm átm.szűrőkavics</t>
  </si>
  <si>
    <t>Szűrőkavics felett 1,0m ig homokszórás</t>
  </si>
  <si>
    <t>Szűrőkavics alatt 1,3m-es iszapzsák</t>
  </si>
  <si>
    <t>Záró fadugó</t>
  </si>
  <si>
    <t xml:space="preserve">D80 fúrt CFA cölöpök készítése 13,0 m hosszal, C30/37-XC4-XA1-32-F5 betonminőséggel, cölöp felső síkján 50 cm visszavéséssel </t>
  </si>
  <si>
    <t>Elő-és utófenéknél föld kiemelése bármely konzisztenciájú, I.-IV. fejtési osztályú talajban, dúcolt munkaárokból, géppel-kézzel, meder tervezett síkja és tervezett beton szerkezet, valamint a kőszáros tervezett alsó síkja között</t>
  </si>
  <si>
    <t>Elő- és utófenék 1,5m vastagságban, vízépítési fagyálló, méretezett nagyságú terméskövekből.</t>
  </si>
  <si>
    <t>Betonba ágyazott kopásálló burkolat a vízszintszabályozó zsilipek és a hajózsilip felső fő szegmenszsilipekhez kapcsolódó küszöbök alvízi oldalán. Előirányzat!</t>
  </si>
  <si>
    <t>Falzsaluzás egyoldali függőleges vagy ferde felülettel</t>
  </si>
  <si>
    <t>3.5. Ideiglenes betéttábla tároló</t>
  </si>
  <si>
    <t>Föld kiemelése feltöltésből, géppel-kézzel</t>
  </si>
  <si>
    <t>Tétel szám</t>
  </si>
  <si>
    <t>Homokos kavicságy készítése Trρ=95%-ra tömörítve</t>
  </si>
  <si>
    <t>Szerelőbeton készítése 6 cm vastagságban, C12/15-X0b(H)-24-F1 minőségben csónak átemelő alá</t>
  </si>
  <si>
    <t>Hajózási, ideiglenes jelzőtáblák és útvonal kijelölők elhelyezése az építés idejére.</t>
  </si>
  <si>
    <t>klt</t>
  </si>
  <si>
    <r>
      <t xml:space="preserve"> - A beépítendő anyagmennyiségek a TÖMÖRÍTETT m</t>
    </r>
    <r>
      <rPr>
        <vertAlign val="superscript"/>
        <sz val="12"/>
        <color indexed="8"/>
        <rFont val="Times New Roman"/>
        <family val="1"/>
        <charset val="238"/>
      </rPr>
      <t>3</t>
    </r>
    <r>
      <rPr>
        <sz val="12"/>
        <color indexed="8"/>
        <rFont val="Times New Roman"/>
        <family val="1"/>
        <charset val="238"/>
      </rPr>
      <t>-re vonatkoznak, a kitermelt és szállítandó mennyiségi értékekehez LAZA m</t>
    </r>
    <r>
      <rPr>
        <vertAlign val="superscript"/>
        <sz val="12"/>
        <color indexed="8"/>
        <rFont val="Times New Roman"/>
        <family val="1"/>
        <charset val="238"/>
      </rPr>
      <t>3</t>
    </r>
    <r>
      <rPr>
        <sz val="12"/>
        <color indexed="8"/>
        <rFont val="Times New Roman"/>
        <family val="1"/>
        <charset val="238"/>
      </rPr>
      <t>-re célszerű átszámítani!</t>
    </r>
  </si>
  <si>
    <t xml:space="preserve"> - A kőhányás készítéséhez kötegelt terméskő vagy nagyobb méretű tömbök is felhasználhatók.</t>
  </si>
  <si>
    <t xml:space="preserve"> - A geotextília mennyisége nem tartalmazza az illesztéseknél szükséges átfedésekből adódó többlet felület mennyiségét.</t>
  </si>
  <si>
    <t xml:space="preserve"> - A mennyiségek tájékoztatásul szolgálnak, pontos értékek megállapítása a kivitelezés során lehetséges.</t>
  </si>
  <si>
    <t xml:space="preserve"> - A vállalkozónak az építési feladat szakszerű elvégzéséhez és üzemképes működéséhez szükséges minden olyan anyagot, munkát, technológiai folyamatot költségelnie kell - függetlenül attól, hogy azt a mennyiségi kiírás tartalmazza-e vagy sem - ami a feladat kiírásban megfogalmazott cél eléréséhez és annak I.osztályú minőségű megvalósításához szükséges.</t>
  </si>
  <si>
    <t xml:space="preserve"> - A kiírásban előforduló esetleges nyilvánvaló mennyiségi elírások nem képeznek jogalapot a többletteljesítési igény későbbi benyújtására.</t>
  </si>
  <si>
    <t>Visszacsapó szelep belső menettel, rézcső vezetékbe szerelve tömítési elemekkel 1"</t>
  </si>
  <si>
    <t>Mint előző tétel, de 2"</t>
  </si>
  <si>
    <t>1,0x1,0x0,4m betongallér C30/37-XC4-XF3-32F2 betonból ; 5 db ; 0,35m3/db</t>
  </si>
  <si>
    <t>Vízszintes vasbeton kopóréteg készítése alaplemezen 60 cm vastagságban C45/55-XC4-XV2(H)-XK4(H)-32-F2 minőségű betonból vízzáró szakaszolással,  elektromos és gépészeti igények szerinti bebetonozandó védőcsövek elhelyezésével.</t>
  </si>
  <si>
    <t>előző tétel zsaluzása egyoldali sík zsaluzattal, vagy kétoldalú olyan egyedi zsaluzási megoldással, mely zsaluzat a kéregbeton és további betonrészek vaskapcsolatát biztosítani tudja, és a két betonozási ütem között a nyírókapcsolat kialakítását lehetővé teszi, elektromos és gépészeti igények szerinti bebetonozandó védőcsövek elhelyezésével.</t>
  </si>
  <si>
    <t>Vasbeton köpenyfal készítése vasbeton falszerkezet víz felőli oldalán 60 cm vastagságban C45/55-XC4-XV2(H)-XK4(H)-32-F2 minőségű betonból, elektromos és gépészeti igények szerinti bebetonozandó védőcsövek elhelyezésével, 112 mBf szintig</t>
  </si>
  <si>
    <t>előző tétel zsaluzása egyoldali sík zsaluzattal és alátámasztó állvánnyal</t>
  </si>
  <si>
    <t xml:space="preserve"> - Az anyagkiírásban meghatározott összevont tételek további bontása, az abban foglaltak pontosítása csak a kiviteli tervek elkészülte után lehetséges.</t>
  </si>
  <si>
    <t xml:space="preserve"> - A kiviteli tervezés fázisában a pontosabb geodéziai felmérés és részletesebb talajmechanikai szakvélemény alapján finomított tervek a költségvetési kiírásban szereplő mennyiségek kisebb mértékű változását vonhatják maguk után a földmunkák és cölöpalapozási munkák vonatkozásában. A felszínt takaró kissé humuszos homokos durva iszap fedőréteg felső részének eltávolítását és a talajcserét előíró mennyiségek is módosulhatnak a kivitelezés során, mivel a gát és a műtárgyak alatt a talajcserét a humuszmentes termett teherbíró talajig el kell végezni.</t>
  </si>
  <si>
    <t>Egységár</t>
  </si>
  <si>
    <t>Költség</t>
  </si>
  <si>
    <t>Anyag</t>
  </si>
  <si>
    <t>Díj</t>
  </si>
  <si>
    <t>Összesen</t>
  </si>
  <si>
    <t>Kiviteli tervek készítése</t>
  </si>
  <si>
    <t>Szakfelügyeletek</t>
  </si>
  <si>
    <t>Lőszermentesítés</t>
  </si>
  <si>
    <t>Felvonulási telep</t>
  </si>
  <si>
    <t>Felvonulási utak</t>
  </si>
  <si>
    <t>Ponton a Mosoni-Dunán (becsült hossz)</t>
  </si>
  <si>
    <t>Biztosítások és biztosítékok</t>
  </si>
  <si>
    <t>Örzés, vagyonvédelem</t>
  </si>
  <si>
    <t>Mérnök, Megrendelő részére nyújtandó szolgáltatások</t>
  </si>
  <si>
    <t>Próbaüzem</t>
  </si>
  <si>
    <t>1+1</t>
  </si>
  <si>
    <t>hónap</t>
  </si>
  <si>
    <t>1.1.1.</t>
  </si>
  <si>
    <t>1.1.2.</t>
  </si>
  <si>
    <t>1.1.3.</t>
  </si>
  <si>
    <t>1.2.</t>
  </si>
  <si>
    <t>2.1.</t>
  </si>
  <si>
    <t>2.2.</t>
  </si>
  <si>
    <t>3.1.1.</t>
  </si>
  <si>
    <t>3.1.3.</t>
  </si>
  <si>
    <t>3.1.4.</t>
  </si>
  <si>
    <t>3.2.</t>
  </si>
  <si>
    <t>3.3.</t>
  </si>
  <si>
    <t>3.4.</t>
  </si>
  <si>
    <t>3.5.</t>
  </si>
  <si>
    <t>4.1.</t>
  </si>
  <si>
    <t>4.2.</t>
  </si>
  <si>
    <t>4.3.</t>
  </si>
  <si>
    <t>4.4.</t>
  </si>
  <si>
    <t>3.1.4. Hulladéktároló építészet-szerkezet</t>
  </si>
  <si>
    <t>5. Hajózási és ideiglenes létesítmények</t>
  </si>
  <si>
    <t>Térvilágítási leágazás, mágneskapcsolóval, 3 állású üzemmódkapcsolóval, alkonykapcsolóval történő automatikus működtetéshez</t>
  </si>
  <si>
    <t xml:space="preserve">Villámvédelmi hálózat kiépítése érintésvédelem, földelés kompletten Ø10 mm tüzihorganyzott villámvédelmi felfogó és levezető vezeték 10 cm vezeték kiemeléssel 75 fm, 2 m hosszú 2"-os tüzihorganyzott villámvédelmi felfogórúd 4db, Ø20 mm-es köracél földelő vezeték, földárokba fektetve az épület körül 80 fm </t>
  </si>
  <si>
    <t>Tűzjelző központ min: 5 csatornás kivitelben. 20db füst és 1 db CO érzékelővel összekábelezve a központi egységgel. Kommunikáció a diszpécserrel és a vízmű központtal</t>
  </si>
  <si>
    <t>Vagyonvédelmi központ kiépítése amely képes min.: 16 db ablaktörés érzékelő, 22 db nyitás érzékelő valamint 4 db kültéri kamera jelnének fogadására, összekábelezve a központi egységgel és kommunikációra a diszpécserrel és a vízmű központtal</t>
  </si>
  <si>
    <t>Kaputelefon 1 db kültéri és 2 db beltéri egységgel (diszpécser és apartman) összekábelezve a beltéri és kültéri egységeket kompletten</t>
  </si>
  <si>
    <t>Apartman szobák beltéri világítása falikarokkal kb. 80W teljesítménynek megfelelő energiaigénnyel. Üzemeltető által meghatározott típusban</t>
  </si>
  <si>
    <t>Apartman szobák beltéri világítása több karos csillár lámpatesttel kb. 200W teljesítménynek megfelelő energiaigénnyel. Üzemeltető által meghatározott típusban</t>
  </si>
  <si>
    <t xml:space="preserve">24 V-os dugaszoló aljzatok </t>
  </si>
  <si>
    <t xml:space="preserve">400V-os dugaszoló aljzat 3P+PE </t>
  </si>
  <si>
    <t xml:space="preserve">400V-os dugaszoló aljzat 3P+N+PE </t>
  </si>
  <si>
    <t>Az új távmérő állomások szoftveres integrálása a győri központi távmérő rendszerbe</t>
  </si>
  <si>
    <r>
      <t>Hajózsilip megfelelő kamráiban elhelyezendő két vízszintmérő szonda, bejelezve az üzemviteli épület diszpécseri helyiségébe. I</t>
    </r>
    <r>
      <rPr>
        <vertAlign val="subscript"/>
        <sz val="12"/>
        <rFont val="Times New Roman"/>
        <family val="1"/>
        <charset val="238"/>
      </rPr>
      <t>ki</t>
    </r>
    <r>
      <rPr>
        <sz val="12"/>
        <rFont val="Times New Roman"/>
        <family val="1"/>
        <charset val="238"/>
      </rPr>
      <t>=4..20mA</t>
    </r>
  </si>
  <si>
    <t>Ipari TV hálózat kiépítése (motorikusan állítható kamerák 9 db) a tervezendő műtárgy területén. Minimális követelmény: 1MP felbontás, IR mód, min.: 25FPS, szabadtéri kivitel: -25…+60°C közötti működési hőmérsékletű. Web kamerák elhelyezésével és ethernet kommunikációval a diszpécserig</t>
  </si>
  <si>
    <r>
      <t>Kiemelhető szegmenstábla műszaki paramétereinek meghatározása után kiválasztandó egyfordulatú abszolút jeladó (táblaállás mérő) amely felszerelésre kerül a gépészeti berendezésre. I</t>
    </r>
    <r>
      <rPr>
        <vertAlign val="subscript"/>
        <sz val="12"/>
        <rFont val="Times New Roman"/>
        <family val="1"/>
        <charset val="238"/>
      </rPr>
      <t>ki</t>
    </r>
    <r>
      <rPr>
        <sz val="12"/>
        <rFont val="Times New Roman"/>
        <family val="1"/>
        <charset val="238"/>
      </rPr>
      <t>=4...20mA</t>
    </r>
  </si>
  <si>
    <r>
      <t>2x2,5 mm</t>
    </r>
    <r>
      <rPr>
        <vertAlign val="superscript"/>
        <sz val="12"/>
        <rFont val="Times New Roman"/>
        <family val="1"/>
        <charset val="238"/>
      </rPr>
      <t xml:space="preserve">2 </t>
    </r>
    <r>
      <rPr>
        <sz val="12"/>
        <rFont val="Times New Roman"/>
        <family val="1"/>
        <charset val="238"/>
      </rPr>
      <t>réz erű árnyékolt, mechanikai védelemmel ellátott, földbe fektetett kábel a terepi műszerek és a központi diszpécser helyiség között</t>
    </r>
  </si>
  <si>
    <r>
      <t>Területen megépítendő két darab új figyelőpontba telepítendő nyomásmérés elvén működő szinttávadó, beépített hőmérséklet mérővel (2db beépített, 1 db hidegtartalék) kompletten túlfeszülség védelemmel ellátott szerelődobozzal. Szerelő dobozig gyári kábellel. Szintmérés pontossága: +/- 0.1%, hőmérsékletmérés pontossága: +/- 0.1°C,  I</t>
    </r>
    <r>
      <rPr>
        <vertAlign val="subscript"/>
        <sz val="12"/>
        <rFont val="Times New Roman"/>
        <family val="1"/>
        <charset val="238"/>
      </rPr>
      <t>ki</t>
    </r>
    <r>
      <rPr>
        <sz val="12"/>
        <rFont val="Times New Roman"/>
        <family val="1"/>
        <charset val="238"/>
      </rPr>
      <t xml:space="preserve">=4..20mA </t>
    </r>
  </si>
  <si>
    <t>Munka megnevezése</t>
  </si>
  <si>
    <t>Költség (A+D)</t>
  </si>
  <si>
    <t>1.1.</t>
  </si>
  <si>
    <t>3.1.</t>
  </si>
  <si>
    <t>Általános tételek</t>
  </si>
  <si>
    <t>Hajózási, és ideiglenes létesítmények</t>
  </si>
  <si>
    <t>Irányítástechnika</t>
  </si>
  <si>
    <t>Talajvízfigyelő kutak</t>
  </si>
  <si>
    <t>Monitoring rendszer</t>
  </si>
  <si>
    <t>Bácsa vízmérce</t>
  </si>
  <si>
    <t>Ideiglenes betéttábla tároló</t>
  </si>
  <si>
    <t>Kezelő híd</t>
  </si>
  <si>
    <t>Víziközművek</t>
  </si>
  <si>
    <t>Hulladéktároló építészet-szerkezet</t>
  </si>
  <si>
    <t>Elektromos ellátás</t>
  </si>
  <si>
    <t>Épületgépészet</t>
  </si>
  <si>
    <t>Építészet-szerkezet</t>
  </si>
  <si>
    <t>Üzemviteli épület</t>
  </si>
  <si>
    <t>Kapcsolódó létesítmények</t>
  </si>
  <si>
    <t>Töltés tartozékok</t>
  </si>
  <si>
    <t>Nagytömegű földmunkák, töltésépítés</t>
  </si>
  <si>
    <t>Árvízvédelmi létesítmények, meder áttöltés, mederátvágás</t>
  </si>
  <si>
    <t>Torkolati műtárgy</t>
  </si>
  <si>
    <t>Vízigépészet</t>
  </si>
  <si>
    <t>KÖLTSÉGVETÉSI FŐÖSZESÍTŐ</t>
  </si>
  <si>
    <t>Mosoni-Duna alsó szakaszának vízszint rehabilitációja</t>
  </si>
  <si>
    <t>összesen (nettó) :</t>
  </si>
  <si>
    <t>Beszerzendő eszközök</t>
  </si>
  <si>
    <t>6. Beszerzendő eszközök</t>
  </si>
  <si>
    <t>7. Általános tételek</t>
  </si>
  <si>
    <t>8. Megjegyzések, figyelemfelhívások</t>
  </si>
  <si>
    <t>Alumínium mentőladik + 6 LE motorral (teljes felszereléssel)</t>
  </si>
  <si>
    <t>búvárszivattyúk (380V zagyszivattyú)</t>
  </si>
  <si>
    <t>hegesztő inverter</t>
  </si>
  <si>
    <t>komplett lánghegesztő berendezés (tartalék palackokkal)</t>
  </si>
  <si>
    <t>csavarkompresszor 600 l/perc levegő előmelegítő funkcióval</t>
  </si>
  <si>
    <t>szemcseszóró</t>
  </si>
  <si>
    <t>karbantartó függőkosár</t>
  </si>
  <si>
    <t>fűnyíró traktor utánfutóval, tolólappal</t>
  </si>
  <si>
    <t>fűkasza</t>
  </si>
  <si>
    <t>benzinmotoros láncfűrész</t>
  </si>
  <si>
    <t>könnyűszerkezetes állvány kerekes, gurulós, 10 m munkamagasság</t>
  </si>
  <si>
    <t>hidraulikus kézipumpa</t>
  </si>
  <si>
    <t>emelőpapucsok</t>
  </si>
  <si>
    <t>magasnyomású zsírzó</t>
  </si>
  <si>
    <t>kézi csőhajlító</t>
  </si>
  <si>
    <t>szerszámkészlet (guruló szekrényes komplett)</t>
  </si>
  <si>
    <t>Monitoring hely méreteihez igazodó kétkamrás daruzható varsa</t>
  </si>
  <si>
    <t>Előkészítő munkák, irtás, humuszleszedés, stb. lásd 2.1.1. pont alatti 1 és 2 pontban lévő mennyiségekben</t>
  </si>
  <si>
    <t>Falhornyokba elhelyezhető ideiglenes elzáró betéttábla hallépcső geometriájához igazított szélességi méretben, egyoldali tömör síktábla merevítőbordákkal, korrozióvédő bevonattal ellátott S235JR minőségű acélból. Hegesztve, vízzárást biztosító profilokkal körben ellátva.</t>
  </si>
  <si>
    <t>Előző tételben megfogalmazott ideiglenes betéttábláknak kiemeléséhez kiemelő keret hegesztett acélszerkezetből kialakítva, korrózióvédelemmel ellátva.</t>
  </si>
  <si>
    <t>Mederáttöltésekhez kapcsolódó meder kotrás az alkalmazott technológiának megfelelően kompletten, elhelyezés a Győr-Gönyűi kikötő kijelölt depóhelyén</t>
  </si>
  <si>
    <t>Ideiglenes töltés részletekben történő gépi elbontása a bontott anyag átszállításával a végleges töltésépítéshez felhasználva</t>
  </si>
  <si>
    <t>Humuszolt felületek füvesítése hengerléssel</t>
  </si>
  <si>
    <t>12.</t>
  </si>
  <si>
    <t>13.</t>
  </si>
  <si>
    <t>Műtárgy nevét tartalmazó információs és útbaigazító táblák gyártása és elhelyezése, alap</t>
  </si>
  <si>
    <t>Ideiglenes közlekedési utak nyomvonalán stabilizált útfelület kialakítása</t>
  </si>
  <si>
    <t>Partvédelmet biztosító kőszórás kiegészítése, helyreállítása az új műtárgy mindkét oldalán 5,0-5,0 m-es szakaszon</t>
  </si>
  <si>
    <t>Acél védőcső elhelyezése szint- és vízhőmérséklet távadók jelkábelei részére a vasbeton távmérő felépítmény külső felületén.</t>
  </si>
  <si>
    <t>KPE védőcső telepítése szint- és vízhőmérséklet távadók jelkábelei részére a terep és a rézsű síkja alatt 50 cm mélységben telepítve, az LKV-50 cm mélységig a mederbe bevezetve.</t>
  </si>
  <si>
    <t>Új szint- és vízhőmérséklet távadók telepítése az acél és KPE védőcsövekben.</t>
  </si>
  <si>
    <t>4.3. Vízállás-távmérés alépítményei</t>
  </si>
  <si>
    <t>Vízállás-távmérés alépítményeinek kiépítése a torkolati műtárgy alvízi és felvízi oldalán a szögtámfal-szerkezet vízzel ellentétes oldalán elhelyezve, az új meder fenékszintek alatti 1 m mélységig kiépítve, az ÉDUVIZIG előírásai és igényei szerint kialakítva, a támfalon átvezetett 2 db összeköttetéssel a Mosoni-Duna új medrének vízterével.</t>
  </si>
  <si>
    <t xml:space="preserve"> - Vállalkozónak a kiírásban megadott mennyiségeket felül kell vizsgálni, a helyszínt és az építési körülményeket meg kell ismerje.</t>
  </si>
  <si>
    <t>Ideiglenes betéttáblák tárolóhelyen a betonfelülethez dübelezéssel rögrített acélszerkezetű bakok készítése és elhelyezése, a betéttáblák tömítésének sérülés elleni védelméhez</t>
  </si>
  <si>
    <t>3.6. Kerítések</t>
  </si>
  <si>
    <t>Kerítésépítés üzemviteli épülethez</t>
  </si>
  <si>
    <t>Kerítésépítés ideiglenes betéttábla tárolóhoz</t>
  </si>
  <si>
    <t>ha</t>
  </si>
  <si>
    <t>2*180</t>
  </si>
  <si>
    <t>Építés által érintett területek helyreállítása, a felületek humuszterítése 25 cm vastagságban gépi erővel</t>
  </si>
  <si>
    <t>Kerítés vagyonvédelme kamerával, központi vagyonvédelmi rendszerhez kapcsolással</t>
  </si>
  <si>
    <t>Parkosítás: 2x iskolázott, 12/14 cm törzskerületű, burkolt gyökérzetű (földlabdás) csemete (fafaj: juhar levelű platán, magas kőris, kocsányos tölgy, piramistölgy, mocsártölgy, tulipánfa, hegyi juhar, vadgesztenye)</t>
  </si>
  <si>
    <t>Várakozóhelyek (al- és felvízi kikötők) és irányító központ között időjárásfüggetlen kommunikációs kapcsolat kiépítése, hogy az érkező hajók vezetői a helyszínen be tudják jelenteni áthajózási szándékukat.</t>
  </si>
  <si>
    <t>Árvízvédelmi nyilvántartási terv készítése</t>
  </si>
  <si>
    <t>Üzemeltetési szabályzat készítése</t>
  </si>
  <si>
    <t>Tervezői művezetés</t>
  </si>
  <si>
    <t>A létesítmények megvalósításához a kiviteli terveken felül szükséges tervek, dokumentációk elkészítése (részlettervek, organizációs tervek, pénzügyi- és műszaki ütemterv, vízkárelhárítási és környezeti kárelhárítási terv, TU-k, MMT-k, biztonsági és egészségvédelmi terv, egyéb tervek), szükség szerint engedélyeztetése</t>
  </si>
  <si>
    <t>Terület előkészítéssel (fakitermelés, lőszermentesítés) kapcsolatos tervezés, engedélyeztetés</t>
  </si>
  <si>
    <t>Átadási dokumentáció (ennek részeként a megvalósulási tervek) készítése</t>
  </si>
  <si>
    <t>Elkészült létesítményekre a használatbavételi-, forgalomba helyezési-, vízjogi üzemeltetési-, hajózási üzemeltetési engedély megszerzéséhez szükséges, és a Vállalkozó által biztosítandó dokumentumok elkészítése, az engedélyezési eljárások díjai, együttműködés az engedélyezési eljárások során</t>
  </si>
  <si>
    <t>Környezetvédelmi engedélyben szereplő faültetés</t>
  </si>
  <si>
    <t>Hallépcső, egyéb munkák</t>
  </si>
  <si>
    <t>Szegmens felső kiemelt helyzetében az elzárás reteszelése a műtárgy falában beépített szerkezethez annak mundkét oldalán. A szerkezet anyaga: 235JRG2 (MSZ EN10025) ; S355JO (MSZEN10025) anyagú tengely SKF típusú vagy azzal egyenértékű csapágyazással. Gyártás, szerelés 2 nyílásban.</t>
  </si>
  <si>
    <t>Kazánházi gázellátás és szellőztetés</t>
  </si>
  <si>
    <t>Lásd 2.1.1 alatti 8. tételben elszámolva</t>
  </si>
  <si>
    <t>Fakitermelés  tuskóirtással I-III oszt. talajban 10-80 cm törzsátmérő (helyszíni darabolással, ledarálással, rendszerezéssel szállítóeszközre rakással, mozgatással, deponálással és elszállítással az ÉDUVIZIG által meghatározott tárolási helyre 8km távolságon belül)</t>
  </si>
  <si>
    <t>Bozót- és cserjeirtás 10 cm tőátmérőig (helyszíni darálással szállítóeszközre rakással, mozgatással deponálással és elszállítással 8km távolságon belül)</t>
  </si>
  <si>
    <t>Meglévő torkolati kőgát, Farkasúsztatói zárás és egyéb kőszórások bontása, anyagmozgatása vagy deponálása ELŐIRÁNYZAT</t>
  </si>
  <si>
    <t>Torkolati művön, továbbá az al- és felvízi parti szakaszon elhelyezendő hajózási jelek, előjelzők, egyéb hang-, és fényjelzések kiépítése a hajózási hatósági előírások szerint.</t>
  </si>
  <si>
    <t xml:space="preserve">Zsilipelés alatti kikötést (hajó alaprajzi rögzítését) biztosító, vízszinthez igazodó kikötő szerkezet (úszó kikötő bak) készítése és elhelyezése a kiépítéshez szükséges segédszerkezetek elhelyezésével kompletten. </t>
  </si>
  <si>
    <t>Vízzáró résfal építése 65 cm vastagságban C30/37-XC4-XA1-XV2(H)-32-F4 minőségű betonból, 24,2 m hosszúságban</t>
  </si>
  <si>
    <t>Vízzáró résfal építése 65 cm vastagságban C30/37-XC4-XA1-XV2(H)-32-F4 minőségű betonból, 18,0 m hosszúságban</t>
  </si>
  <si>
    <t>Vízzáró résfal építése 65 cm vastagságban C30/37-XC4-XA1-XV2(H)-32-F4 minőségű betonból, 11,0 m hosszúságban</t>
  </si>
  <si>
    <t>Vasbeton alaplemez készítése 1 m-nél nagyobb, változó vastagságban C30/37-XC4-XA1-XV2(H)-32-F2 minőségű betonból elő- és utófenéknél, speciális (betontechnológus által meghatározott) kivitelezési technológiával, hűtéssel, szakaszolással.</t>
  </si>
  <si>
    <t>Vasbeton alaplemez készítése 1 m-nél nagyobb, változó vastagságban C30/37-XC4-XA1-XV2(H)-32-F2 minőségű betonból, speciális (betontechnológus által meghatározott) kivitelezési technológiával, hűtéssel, vízzáró szakaszolással, munkahézag képzéssel, elektromos és gépészeti igények szerinti bebetonozandó védőcsövek elhelyezésével.</t>
  </si>
  <si>
    <t>Réspillér (résalapozás) építése 65 cm vastagságban C30/37-XC2-XA1-32-F4 minőségű betonból, 9,00-11,00 m hosszúságban</t>
  </si>
  <si>
    <t>Vasbeton fal készítése 1 m-nél nagyobb, változó vastagságban C30/37-XC4-XV2(H)-32-F2 minőségű betonból, speciális (betontechnológus által meghatározott) kivitelezési technológiával, hűtéssel, védőcsövezéssel, vízzáró szakaszolással, munkahézag képzéssel.</t>
  </si>
  <si>
    <t>1.3.1. Vezető művek</t>
  </si>
  <si>
    <t>1.1.Vízszintszabályozó zsilipek, hallépcső</t>
  </si>
  <si>
    <t>1.1. Vízszintszabályozó zsilipek, hallépcső</t>
  </si>
  <si>
    <t>1.2. Hajózsilip</t>
  </si>
  <si>
    <t>1.2.1. Építészet-szerkezet</t>
  </si>
  <si>
    <t>1.2.2. Vízigépészet</t>
  </si>
  <si>
    <t>1.1.2.5. Hallépcső elzárásai</t>
  </si>
  <si>
    <t>1.2.2.1. Hajózsilip felső fő szegmens főelzárás</t>
  </si>
  <si>
    <t>1.2.2.2. Hajózsilip felső fő szegmens főelzárás mozgató berendezése</t>
  </si>
  <si>
    <t>1.2.2.3. Hajózsilip "kis hajózó" alsó fő szegmens főelzárás</t>
  </si>
  <si>
    <t>1.2.2.4. Hajózsilip "kis hajózó" alsó fő szegmens főelzárás mozgató berendezései</t>
  </si>
  <si>
    <t>1.2.2.5. Hajózsilip alsó fő szegmens főelzárás</t>
  </si>
  <si>
    <t>1.2.2.6. Hajózsilip alsó fő főelzárás mozgató berendezése</t>
  </si>
  <si>
    <t>1.2.2.7. Töltő-ürítő csatornák főelzárásai</t>
  </si>
  <si>
    <t>Elzárás összesen:</t>
  </si>
  <si>
    <t>1.4. Kikötők</t>
  </si>
  <si>
    <t>1.3.2. Csónakátemelő</t>
  </si>
  <si>
    <t>1.3.3. Felvízi oldal, függőleges partfal</t>
  </si>
  <si>
    <t>1.3.4. Alvízi oldal, függőleges partfal</t>
  </si>
  <si>
    <t>1.4.1. Alvízi kikötő</t>
  </si>
  <si>
    <t>1.4.2. Felvízi kikötő</t>
  </si>
  <si>
    <t>5.1. Hajózási létesítmények</t>
  </si>
  <si>
    <t>5.2. Ideiglenes létesítmények</t>
  </si>
  <si>
    <t>7.2. Tervezési és egyéb feladatok</t>
  </si>
  <si>
    <t>7.2.1. Tervezési feladatok</t>
  </si>
  <si>
    <t>7.2.2. Egyéb feladatok</t>
  </si>
  <si>
    <t>Vízszintszabályozó zsilipek, hallépcső</t>
  </si>
  <si>
    <t>Hajózsilip</t>
  </si>
  <si>
    <t>1.3. Vezető művek, csónak átemelő</t>
  </si>
  <si>
    <t>Vezető művek, csónak átemelő</t>
  </si>
  <si>
    <t>Kikötők</t>
  </si>
  <si>
    <t>Kiviteli tervkészítés</t>
  </si>
  <si>
    <t>7.1. Kiviteli tervkészítés</t>
  </si>
  <si>
    <t>Tervezési és egyéb feladatok</t>
  </si>
  <si>
    <t>1.4.</t>
  </si>
  <si>
    <t>1.3.</t>
  </si>
  <si>
    <t>1.2.2.</t>
  </si>
  <si>
    <t>1.2.1.</t>
  </si>
  <si>
    <t>7.1.</t>
  </si>
  <si>
    <t>7.2.</t>
  </si>
  <si>
    <t>5.1.</t>
  </si>
  <si>
    <t>5.2.</t>
  </si>
  <si>
    <t>Hajózási létesítmények</t>
  </si>
  <si>
    <t>Ideiglenes létesítmények</t>
  </si>
  <si>
    <t>3.1.2.</t>
  </si>
  <si>
    <t>3.6.</t>
  </si>
  <si>
    <t>Kerítések</t>
  </si>
  <si>
    <t>Vízállás-távmérés alépítményei</t>
  </si>
  <si>
    <t>Útépítés, burkolattal</t>
  </si>
  <si>
    <t>Kiemelőkeret gyártása, szerelése szerkezeti acélból, hegesztett kivitelben. Csapágyazott vezetőgörgőkkel (SKF) kiemelőhoroggal, horogmozgató szerkezettel. Korrózióvédelemmel, gyári próbával, beszabályozással.1 készlet</t>
  </si>
  <si>
    <t>Szegmens karokba beépített SKF típusú vagy azzal egyenértékű gömbcsuklók beszerzése és beépítése két oldali tömítéssel. Összeszerelése a csaptámasszal. 2 nyílásban</t>
  </si>
  <si>
    <t>Válaszfal építése égetett agyag-kerámia termékekből, 500x100x238 mm méretű nútféderes falazóelemből, M10 falazóhabarccsal falazva</t>
  </si>
  <si>
    <t>Válaszfal építése betonelemből, 500x100x250 mm méretű válaszfalelemből, M10 cementhabarccsal falazva</t>
  </si>
  <si>
    <t>Könnyűbeton lejtésképzés
Testsűrűség  300 kg/m3, 
Hővezetési tényező(tervezési érték)  W/(m·K)  ≤ 0,08
Páradiffúziós ellenállás szám   14,2 
Nyomószilárdság  kPa :  ≥ 710
Hajlítószilárdság  kPa  : 510</t>
  </si>
  <si>
    <t>Homlokzatképzés és hőszigetelés a következő rétegekkel
● vékonyvakolat, 2 mm kapart öntisztuló, szilikát bázisú (III. szín)
   - Páraáteresztő-képesség V2 (EN 7783-2)
   - Vízfelvétel W2 (EN 1062-3)
   - Tapadás &gt; 0,3 MPa (EN 1542)
   -Tartósság: NPD (EN 13687-3)
   -Hővezető képesség: NPD (MSZ EN 1745)
   -Tűzveszélyesség B európai osztály (EN 13820 )
● Vékonnyvakolat alapozó
● Cementbázisú polisztirol ragasztó + üvegszövet + dübel
● 16 cm EPS H80 homlokzati lemez
●  Cementbázisú polisztirol ragasztó</t>
  </si>
  <si>
    <t>Lábazatzatképzés és hőszigetelés a következő rétegekkel
● Műgyanta kötőanyagú szemcsés lábazati díszítő vékonyvakolat
● Vékonnyvakolat alapozó
● Cementbázisú polisztirol ragasztó + üvegszövet + dübel
● 16 cm XPS lábazati lemez (XPS - EN 13164 - T1 - DS(70,90) - CS(10\Y)300 - DLT(2)5 - TR200 - WD(V) 5)
●  Cementbázisú polisztirol ragasztó</t>
  </si>
  <si>
    <t>Tetőfedés nagy szilárdságú anyagában színezett beton cseréppel, antracit 
(alapcserép, szegélycserép kúpcserép és kiegészítők)</t>
  </si>
  <si>
    <t>Páraáteresztő fedési alátétfólia az alábbi követelményértékekkel:
Felülettömeg: 230 ± 10 g/m2
Tűzvédelmi osztály: E
Vízáthatolással szembeni ellenállás: W1 
Vízzáróság: min. 3000 mm
Páraáteresztési tulajdonságok: 0,03 ± 0,01 m
Szakítószilárdság (N/50mm) hossz-/ keresztirányban: 550/500 ± 30; 
Ellenállás szakadással szemben (szeg) (N) hossz-/ keresztirányban: 450/450 ± 30
Hideghajlíthatóság: -25°C
Viselkedés mesterséges öregítés hatására: 
Vízzáróság: W1; Szakítószilárdság (N/50mm) hossz-/ keresztirány: 500/440 ± 30
UV-állóság: 3 hónap
Felhasználási hőmérséklet-tartomány: -40-től 80°C-ig
Súly: kb. 17,3</t>
  </si>
  <si>
    <t>Belső oldali párazára fólia
Belső oldali párazáró és légzáró réteg kialakítására
Méretek, tűrések és felülettömeg: 
Hosszúság: 50 m; Szélesség: 1,50 m; Egyenesség: &lt; 30 mm/10m; Felülettömeg: 110 ± 10 g/m2
Vízzáróság: 
W1; min. 2000
Tűzvédelmi osztály: 
E
Páraáteresztési tulajdonságok: 
&gt; 2 m
Mechanikai jellemzők: 
Szakítószilárdság (N/50mm) hossz-/ keresztirányban: 300/270 ± 30; Tágulás (%) hossz-/ keresztirányban: 80/90 ± 20; Ellenállás szakadással szemben (szeg) (N) hossz-/ keresztirányban: 200/180 ± 30
Hideghajlíthatóság: 
-20°C
Viselkedés mesterséges öregítés hatására: 
Vízzáróság: W1; Szakítószilárdság (N/50mm) hossz-/ keresztirányban: 250/220 ± 30; Tágulás (%) hossz-/ keresztirányban: 70/80 ± 20
Megnyúlás: HxK(%): 
max. 2 %
UV-állóság: 
2 hét
Felhasználási hőmérsékleti tartomány: 
-40-től +80 °C-ig
Súly: 
kb. 11,5 kg
Ragasztósáv: 
Kettős, 40 mm széles, akril bázisú ragasztó</t>
  </si>
  <si>
    <t>Hófogó rács</t>
  </si>
  <si>
    <t>Eresz kialakítása a tetőfedó rendszer elemeivel</t>
  </si>
  <si>
    <t>Taréj kialakítása a tetőfedó rendszer elemeivel</t>
  </si>
  <si>
    <t>Álmennyezet készítése 600/600 mm sima felületű 19 mm vtg, kivehető lapokból, rejtett bordás rendszerrel.</t>
  </si>
  <si>
    <t xml:space="preserve">Padlóburkolat kőporcelán lapból, 60x30, PEI V. </t>
  </si>
  <si>
    <t>Laminált padlóburkolat 
Kopásállóság: AC5/33
Vastagság 12 mm</t>
  </si>
  <si>
    <t>Falburkolat tégla vagy beton felületen 225x900 mm fautánzatú kerámia lapokból</t>
  </si>
  <si>
    <t>PVC padlóburkolat (Közületi célú felhasználásra, erős igénybevételre, 2,4 mm vtg, koptató rtg: 0,55 mm)</t>
  </si>
  <si>
    <t>Kopásálló felületképzés szintetikus adalékkal készülő, nagy szilárdságú, szárazkeverékből ( MSZ EN 13813-CT-C70-F10-AR1) Kopásállóság:  AR0,5 osztály, Fagyállóság  Legalább F50, Csúszásmentes</t>
  </si>
  <si>
    <t>Attika fémlemez fedése  kétvizorros fallefedéssel 
lágy, két oldalon tüzihorganyzott, Z275, 350 g/m2, 50μ színbevonatú, UV álló (30 év garancia) acéllemezből 90 cm kiterített szélességgel</t>
  </si>
  <si>
    <t>Párkánylefedés 33 cm kit. szélességig lágy, két oldalon tüzihorganyzott, Z275, 350 g/m2, 50μ színbevonatú, UV álló (30 év garancia) acéllemezből</t>
  </si>
  <si>
    <t>Félkör szelényű függőeresz csatorna  szerelése lágy, két oldalon tüzihorganyzott, Z275, 350 g/m2, 50μ színbevonatú, UV álló (30 év garancia) acéllemezből</t>
  </si>
  <si>
    <t>Lefolyocső szerelés átm. 100 körszelvényű lefolyócső lágy, két oldalon tüzihorganyzott, Z275, 350 g/m2, 50μ színbevonatú, UV álló (30 év garancia) acéllemezből</t>
  </si>
  <si>
    <t>Ereszszegély lágy, két oldalon tüzihorganyzott, Z275, 350 g/m2, 50μ színbevonatú, UV álló (30 év garancia) acéllemezből</t>
  </si>
  <si>
    <t>korcolt fémlemez burkolat tetőablakok oldalán függőlegen felületen lágy, két oldalon tüzihorganyzott, Z275, 350 g/m2, 50μ színbevonatú, UV álló (30 év garancia) acéllemezből</t>
  </si>
  <si>
    <r>
      <t>Műanyag ablak, bukó-nyíló, fóliázott külső felületű, min 5 légkamrás, 70 mm beép. mélységű műanyag profilokból betörés gátló vasalattal., higro szabályozású légbevezetővel, 
háromrétegű Low-e üvegezéssel,
belső oldali műanyag párkánnyal,
külső tokos, kézi mozgatású hőszigetelt lamellás alumínium redőny és rovarvédő roló, fémlemez burkolatú redőnytokkal, színezett lamellákkal
U</t>
    </r>
    <r>
      <rPr>
        <vertAlign val="subscript"/>
        <sz val="12"/>
        <rFont val="Times New Roman"/>
        <family val="1"/>
        <charset val="238"/>
      </rPr>
      <t>w</t>
    </r>
    <r>
      <rPr>
        <sz val="12"/>
        <rFont val="Times New Roman"/>
        <family val="1"/>
        <charset val="238"/>
      </rPr>
      <t>=1W/m2K
150 x 180 cm méretű</t>
    </r>
  </si>
  <si>
    <r>
      <t>Műanyag külső bejárati ajtó, kétszárnyú üvegezett,  min 5 légkamrás, 70 mm beép. mélységű műanyag profilokból betörés gátló vasalattal, külső-belső fóliázással
U</t>
    </r>
    <r>
      <rPr>
        <vertAlign val="subscript"/>
        <sz val="12"/>
        <rFont val="Times New Roman"/>
        <family val="1"/>
        <charset val="238"/>
      </rPr>
      <t>d</t>
    </r>
    <r>
      <rPr>
        <sz val="12"/>
        <rFont val="Times New Roman"/>
        <family val="1"/>
        <charset val="238"/>
      </rPr>
      <t>=1,4 W/m</t>
    </r>
    <r>
      <rPr>
        <vertAlign val="superscript"/>
        <sz val="12"/>
        <rFont val="Times New Roman"/>
        <family val="1"/>
        <charset val="238"/>
      </rPr>
      <t>2</t>
    </r>
    <r>
      <rPr>
        <sz val="12"/>
        <rFont val="Times New Roman"/>
        <family val="1"/>
        <charset val="238"/>
      </rPr>
      <t>K
140 x 270 cm</t>
    </r>
  </si>
  <si>
    <r>
      <t>Műanyag külső bejárati ajtó, egyszárnyú üvegezett,  min 5 légkamrás, 70 mm beép. mélységű műanyag profilokból betörés gátló vasalattal, külső-belső fóliázással
U</t>
    </r>
    <r>
      <rPr>
        <vertAlign val="subscript"/>
        <sz val="12"/>
        <rFont val="Times New Roman"/>
        <family val="1"/>
        <charset val="238"/>
      </rPr>
      <t>d</t>
    </r>
    <r>
      <rPr>
        <sz val="12"/>
        <rFont val="Times New Roman"/>
        <family val="1"/>
        <charset val="238"/>
      </rPr>
      <t>=1,4 W/m</t>
    </r>
    <r>
      <rPr>
        <vertAlign val="superscript"/>
        <sz val="12"/>
        <rFont val="Times New Roman"/>
        <family val="1"/>
        <charset val="238"/>
      </rPr>
      <t>2</t>
    </r>
    <r>
      <rPr>
        <sz val="12"/>
        <rFont val="Times New Roman"/>
        <family val="1"/>
        <charset val="238"/>
      </rPr>
      <t>K
100 x 270 cm</t>
    </r>
  </si>
  <si>
    <t>Premium felső kilincses fa tetőtéri ablak, műanyag bevonattal  (Uw = 1,2Wm²K) hőszigetelő beépítő kerettel, külső hővédő rolóval és fényvédő rolóval (66x140 cm)</t>
  </si>
  <si>
    <r>
      <t>Függönyfal  porszórt felületű aluminium profilokból Uf= 0,8 W/m2K, fix és nyílószárnyas mezőkkel sötétített hőszigetelő, edzett üvegezéssel, Ug=1.0 W/m2K, U</t>
    </r>
    <r>
      <rPr>
        <vertAlign val="subscript"/>
        <sz val="12"/>
        <rFont val="Times New Roman"/>
        <family val="1"/>
        <charset val="238"/>
      </rPr>
      <t>w</t>
    </r>
    <r>
      <rPr>
        <sz val="12"/>
        <rFont val="Times New Roman"/>
        <family val="1"/>
        <charset val="238"/>
      </rPr>
      <t>=1.5 W/m2K</t>
    </r>
  </si>
  <si>
    <t xml:space="preserve">Függönyfal  porszórt felületű aluminium profilokból Uf= 0,8 W/m2K, fix mezőkkel sötétített edzett üvegezéssel
</t>
  </si>
  <si>
    <t>Szekcionált ipari kapu alacsony küszöbös személybejáró-ajtóval, duplafalú acéllamellás 500 mm magas, mikobordás felülettel, felül lamella üvegezéssel
2750x2700 mm</t>
  </si>
  <si>
    <t>Ollós kivitelű acéllépcső</t>
  </si>
  <si>
    <t xml:space="preserve">Padló hőszigetelése 10 cm XPS 500 lemezből
Hővezetési tényező (közölt érték):
      5-6 cm: 0,033 W/mK
         8 cm: 0,035 W/mK
  10-16 cm: 0,036 W/mK
Hővezetési tényező (tervezési érték):
      5-6 cm: 0,033 W/mK
         8 cm: 0,035 W/mK
  10-16 cm: 0,036 W/mK </t>
  </si>
  <si>
    <t>Padló hőszigetelés 12 cm EPS 100, lemezből
Hővezetési tényező (közölt érték): 0,030 W/mK
Hővezetési tényező (tervezési érték): 0,030 W/mK</t>
  </si>
  <si>
    <t>Kétkomponensű, rugalmas, cementkötésű habarcsból kenhető használati víz elleni szigetelés vizes helyiségekbe</t>
  </si>
  <si>
    <t>Hőszigetelés szarufák között üveggyapottal 20 cm összvastagságban λD=0,032 W/mK, Éghetőség: A1</t>
  </si>
  <si>
    <t>Mint előző, de szarufák alatt
5 cm vastagságban</t>
  </si>
  <si>
    <t>Lapostető hő, pára és csapadékvíz elleni szigetelése vízszintes felületen a következő rétegekkel:
5 cm 16-32 mm mosott kavics leterhelő réteg
· Polipropilén filc elválasztó-szűrő réteg
· 20 cm  hőszigetelés XPS 300
Hővezetési tényező (közölt érték):
      3-6 cm: 0,033 W/mK
      7-8 cm: 0,035 W/mK
  10-16 cm: 0,036 W/mK
Hővezetési tényező (tervezési érték):
      3-6 cm: 0,033 W/mK
      7-8 cm: 0,035 W/mK
  10-16 cm: 0,036 W/mK
Táblaméret: 1265 x 615 mm
· Polipropilén filc elválasztó-szűrő réteg
· Műanyag lemez csapadékvíz elleni szigetelés (a széleken mechanikai rögzítéssel)
· Alátét-elválasztó polipropilén filcréteg</t>
  </si>
  <si>
    <t>Vízszintes falszigetelés kétkomponensű, rugalmas, cementkötésű kenhető habarcsból</t>
  </si>
  <si>
    <t>Lábazatzatképzés beton felületen
● Vékonnyvakolat alapozó
● Műgyanta kötőanyagú szemcsés lábazati díszítő vékonyvakolat</t>
  </si>
  <si>
    <t>Kétvizorros fallefedés 33 cm kiterített szélességgel lágy, két oldalon tüzihorganyzott, Z275, 350 g/m2, 50μ színbevonatú, UV álló (30 év garancia) acéllemezből</t>
  </si>
  <si>
    <t>Korcolt fémlemez burkolat tetőn vízszintes és függőleges deszkázaton lágy, két oldalon tüzihorganyzott, Z275, 350 g/m2, 50μ színbevonatú, UV álló (30 év garancia) acéllemezből
alátét lemezzel</t>
  </si>
  <si>
    <t>Lefolyocsó szerelés átm. 100 körszelvényű lefolyócső lágy, két oldalon tüzihorganyzott, Z275, 350 g/m2, 50μ színbevonatú, UV álló (30 év garancia) acéllemezből</t>
  </si>
  <si>
    <t>Műanyag külső bejárati ajtó, betörés gátló vasalattal, külső fóliázással
100 x 210 cm</t>
  </si>
  <si>
    <t>Táblás kerítés, 1,80 m magas hegesztett háló kerítéstáblákkal, oszlopokkal 
Szemek: 50x200 mm
Huzalvastagság: vízszintes dupla szálak 6 mm, függőleges 5 mm
Felületkezelés: NF EN 10244-2 és NF EN 10016-1/2 és NV 65 szabványok szerinti</t>
  </si>
  <si>
    <t>Szárnyas kapu, egyszárnyú 1,0 m széles, 1,8 m magassággal, felületkezelés és háló kitöltés, mint előző</t>
  </si>
  <si>
    <t>Tolókapu kapu 6,0 m széles, 1,80 m magassággal, motoros meghajtással
felületkezelés és háló kitöltés, mint előző</t>
  </si>
  <si>
    <t>Szárnyas kapu, kétszárnyú 6,0 m széles, 1,8 m magassággal 
felületkezelés és háló kitöltés, mint előző</t>
  </si>
  <si>
    <t>Ötrétegű műanyag cső  préscsatlakozós nyomóvezeték, csatlakozóidomokkal, rögzítéssel, megerősítésekkel, szakaszos nyomáspróbával, falhoronyban és szabadon szerelve, 30 mm vastag  csőhéj szigeteléssel, ragasztással, horonyvéséssel, helyreállítással                                             Ø 18x2</t>
  </si>
  <si>
    <t xml:space="preserve">Összekötő csavarzat polietilén cső műanyag cső között                             D63 PE/Ø63x6               </t>
  </si>
  <si>
    <t>Mosdó berendezés hideg- melegvízre az alábbi tartozékokkal:
Félporcelán lamellás mosdó dűbelekkel felerősítve nikkelezett sárgaréz lánctartóval és lánccal 60 cm-es,  1 db
Mosdó csaptelep lengőcsövel sárgaréz krómozott kivitelben, 400 mm-es bekötőcsövekkel műanyag fogantyús felső résszel, sugárvezetővel  1/2" 1 db
Sarokszelep sárgarézből krómozott kivitelben sárgaréz krómozott kupakkal és tárcsával 1182. sz. 1/2" 2 db
Bűzelzáró leeresztő szeleppel, sárgaréz krómozott kivitelben mosdóhoz 1 db</t>
  </si>
  <si>
    <t>Zuhany berendezés hideg- melegvízre, fel szerelve és bekötve az alábbi tartozékokkal:
Épített zuhanytálca (ld. építész tervkötetben) 1 db
Zuhany csaptelep, zuhanycsővel, rózsával sárgaréz, krómozott kivitelben  1 db
Sarokszelep sárgaréz, krómozott 1/2" 2 db
Összefolyóval telepítve 1 db</t>
  </si>
  <si>
    <t>Kétmedencés rozsdamentes acéllemez, csepegtetőtálcás mosogató, beépített bútorba szerelve,leeresztő szelepekkel, bűzelzáróval felszerelve, 
egykaros fali mosogató csapteleppel krómozott kivtelben, kifolyócsővel, fémfogantyús felsőrésszel, takarórtárcsával 1/2"  2 db sarokszeleppel 1/2"</t>
  </si>
  <si>
    <t xml:space="preserve">Kézmosó berendezés hideg -melegvízre az alábbi tartozékokkal:                                 Félporcelán mosdó tartóval, lánctartzóval, lánccal, 40 cm-es 1 db                                                 Lengőkaros csaptelep krómozott kivitelben, sugárvezetővel      1/2" 1 db                                                             Sarokszelep krómozott kivitelben 1/2" 2 db                                                                       Bűzelzáró leeresztő szelep, krómozott kivitelben 1 db                                                           </t>
  </si>
  <si>
    <t>Mint előző tétel, de  hideg meleg vízzel ellátva .                                                Kifolyószelep sárgarézből krómozva sárgaréz légbeszívóval, sárgaréz tömlőcsatlakozóval és füles csatlakozó anyával, belső rögzítésű műanyag fogantyús  felsőrésszel, sárgaréz fali rózsával (268), 210 St sz. 1/2 " 2 db                                                                Tartalék elzáró csempeszelep sárgaréz krómozott kivitelben kupakkal és tárcsával a zárókupakon kulcsnyílás kiképzéssel, 7036 sz.  1/2" 2 db</t>
  </si>
  <si>
    <t>Padló összefolyó tartozékokkal
DN50/75</t>
  </si>
  <si>
    <t>Kazántöltő és ürítő gömbcsap felszerelve 1/2"</t>
  </si>
  <si>
    <t>Gömbcsap menetes, karmantyús csatlakozással 2"</t>
  </si>
  <si>
    <t>Gömbcsap menetes, karmantyús csatlakozással 1 1/4"</t>
  </si>
  <si>
    <t>Ürítőcsap menetes, karmantyús tömlőcsatlakozással 1/2"</t>
  </si>
  <si>
    <t xml:space="preserve">HMV keringtető szivattyú csatlakozó elemekkel                                                                    G=1,5 m3/h                                                                                                  H=1,5 m.v.o                                                                                              P=46W  (230V) </t>
  </si>
  <si>
    <t>Védőszerelvényes ipari hőmérő eloxált fémtokkal, felszerelve,      0-160 C° mérési határok között, 160 mm bemerülő hosszal, kis könyök felszerelve, a hőmérőnek megfelelő beépítési hely kialakításával a csatlakozó szerelvények  méretei szerint, a melegvíz csővezetékek szükségszerű méreteinek bővítésével, beépítési elemekkel (M20-1/2")</t>
  </si>
  <si>
    <r>
      <t>Automata vízlágyító szűrővel, visszacsapó kombinált szeleppel összes gyártócégi elemeivel együtt nyomóvezetéki és lefolyó vezetéki oldalon
G = 1,0 - 1,5 m</t>
    </r>
    <r>
      <rPr>
        <vertAlign val="superscript"/>
        <sz val="12"/>
        <color indexed="8"/>
        <rFont val="Times New Roman"/>
        <family val="1"/>
        <charset val="238"/>
      </rPr>
      <t>3</t>
    </r>
    <r>
      <rPr>
        <sz val="12"/>
        <color indexed="8"/>
        <rFont val="Times New Roman"/>
        <family val="1"/>
        <charset val="238"/>
      </rPr>
      <t xml:space="preserve">/h
230 V  50 Hz
</t>
    </r>
  </si>
  <si>
    <r>
      <t xml:space="preserve">Rézcső (DIN 1785)     max. 90 </t>
    </r>
    <r>
      <rPr>
        <sz val="12"/>
        <color indexed="8"/>
        <rFont val="Calibri"/>
        <family val="2"/>
        <charset val="238"/>
      </rPr>
      <t>°</t>
    </r>
    <r>
      <rPr>
        <sz val="12"/>
        <color indexed="8"/>
        <rFont val="Times New Roman"/>
        <family val="1"/>
        <charset val="238"/>
      </rPr>
      <t>C melegvízre korrozióvédett kivitelben, idomdarabokkal, kapilláris kemény forrasztásos kötésekkel, megerősítésekkel, szakaszos nyomáspróbával, falhoronyban és szabadon szerelve,csőhéj szigeteléssel együtt.
18x1,0</t>
    </r>
  </si>
  <si>
    <t>Beütőék fém hüvellyel, tartószerkezet rögzítésére, felszerelve (M6)</t>
  </si>
  <si>
    <t>Gömbcsap szénacélból 
NNY 16 ,menetes karmantyús kötésekkel, tömítésekkel, rézcső vezetékbe szerelve
1"</t>
  </si>
  <si>
    <t>Rugóterhelésű visszacsapó szelep sárgarézből NNY16 
menetes karmantyús kötésekkel, tömítésekkel, rézcső vezetékbe szerelve           1"</t>
  </si>
  <si>
    <t>Ferde ülésű szennyfogó szűrő szürke vasöntvényből  16 menetes karmantyús kötésekkel, tömítésekkel, rézcső vezetékbe szerelve                      2"</t>
  </si>
  <si>
    <t xml:space="preserve"> Mint előző tétel, de iszapleválasztó   csatlakozó elemekkel                                         2"</t>
  </si>
  <si>
    <t xml:space="preserve">Zárt fűtési tágulási tartály ,                                                           V=50 l ; 1" -os csatlakozási kötési és tömítési elemekkel                        </t>
  </si>
  <si>
    <t>Kétutú motoros keverőszelep melegvizes fűtőkörbe, hajtó motorokkal együtt, csatlakozó elemekkel
3/4"</t>
  </si>
  <si>
    <t>Gömbcsap karmantyús csatlakozással, rézcső vezetékbe szerelve, tömítési elemekkel
1"</t>
  </si>
  <si>
    <t>Előregyártott osztó és gyűjtő   rézcsőből mély-domború edényfenékkel, terv szerinti csonkozással, előre beépített lábakra helyezve, a  fűtési osztón 30 mm vastag  csőhéj hőszigeteléssel,  öntapadó habcsíkkal való lezárással ellátva, alumínium burkolattal terv szerinti kivitelben, padlóra erősített idomacél tartóra szerelve, tartó árával együtt menetes csonkokkal tömítési és kötési elemekkel
Ø  28      2 db
Ø  35      3 db
Ø  42      1 db
Ø  54      1 db                                                                                                                                                                                                                                                                                                                                                                            Ø  18      3 db                                                                                                                                                                                                
Ø133x3 mm rézcsőből hossz: 2000 mm</t>
  </si>
  <si>
    <r>
      <t>Védőszerelvényes ipari hőmérő eloxált fémtokkal, felszerelve,        0-160 C</t>
    </r>
    <r>
      <rPr>
        <vertAlign val="superscript"/>
        <sz val="12"/>
        <color indexed="8"/>
        <rFont val="Times New Roman"/>
        <family val="1"/>
        <charset val="238"/>
      </rPr>
      <t>o</t>
    </r>
    <r>
      <rPr>
        <sz val="12"/>
        <color indexed="8"/>
        <rFont val="Times New Roman"/>
        <family val="1"/>
        <charset val="238"/>
      </rPr>
      <t xml:space="preserve"> mérési határok között, 160 mm bemerülő hosszal, kis könyök felszerelve, a hőmérőnek megfelelő beépítési hely kialakításával a csatlakozó szerelvények  méretei szerint, a melegvíz csővezetékek szükségszerű méreteinek bővítésével</t>
    </r>
  </si>
  <si>
    <t xml:space="preserve">Radiátor szeleptest beépített maximális vízáram beállítási lehetőséggel, rézcső hálózatba szerelve
 átmeneti kivitel
1/2"
</t>
  </si>
  <si>
    <t xml:space="preserve">Termosztatikus fej beépített érzékelővel, fagyvédelemmel, lopás elleni védelemmel, előbbi tételek radiátosszeleptesteihez
</t>
  </si>
  <si>
    <t>Csavarkulcs  termosztatikus fejhez</t>
  </si>
  <si>
    <t>Kétsoros és háromsoros  konvektorlemezes acéllemez lapradiátorok felszereléssel, tartózással, bekötéssel, gyártócégi lábakra, konzolra szerelve, gyárilag mázolva, minden gyártócégi és beépítési tartozékkal együtt, komplett berendezés
22K-600-920</t>
  </si>
  <si>
    <r>
      <t xml:space="preserve">Zárt égésterű, kondenzációs gázüzemű fali fűtő készülék elhelyezése, víz- és gázoldali bekötéssel, földgázra, gyártó cégi kiegészítőkkel, szabályozott szivattyúblokkal, </t>
    </r>
    <r>
      <rPr>
        <sz val="12"/>
        <rFont val="Times New Roman"/>
        <family val="1"/>
        <charset val="238"/>
      </rPr>
      <t>szerelvényekkel, hőszigeteléssel           hőteljesítmény 80 kW</t>
    </r>
  </si>
  <si>
    <t>Elektronikus fűtésszabályozó készülék érzékelőkkel a fenti kazán égővezérléséhez, felszerelve, elektromos bekötéssel a csatlakozó működtető vezetékkel, az érzékelőkhöz</t>
  </si>
  <si>
    <t>Vízhőmérséklet érzékelő felszerelése, meglévő csonkba, elektromos bekötés nélkül vízhőmérséklet érzékelő,                                                1=100 mm,</t>
  </si>
  <si>
    <t>Külső hőmérséklet érzékelő csepegővíz ellen védett szabadtéri kivitelű, felszerelése, elektromos bekötés nélkül  külső hőmérséklet érzékelő,</t>
  </si>
  <si>
    <t xml:space="preserve">Helyiség hőmérséklet érzékelő, beltéri kivitelű, elektromos bekötés nélkül Helyiség hőmérséklet érzékelő, </t>
  </si>
  <si>
    <t>Hidraulikus váltó elhelyezése és bekötése, fali vagy álló tartószerkezettel, hőszigetelve 100 kW teljesítményig a fenti kazánhoz hidraulikus váltó 80/120, szigeteléssel, fali tartóval, kézi légt., 1/2" töltő-ürítő szeleppel, 8 m3/h, 4x2" csonkkal</t>
  </si>
  <si>
    <t xml:space="preserve">Közvetett fűtésű, álló, fixen beépített fűtő csőkígyóval , tároló berendezés elhelyezése és bekötése, két fűtőkígyós kivitelben ,   álló melegvíz tároló acélból, használati melegvíz készítéshez, Ceraprotect zománcozással, magnézium anódos védelemmel, két nagyteljesítményű fűtőcsőspirállal, hőszigeteléssel.                                    Tároló-űrtartalom: 500 liter, szerelvényeivel komplett gyártócégi berendezés </t>
  </si>
  <si>
    <t xml:space="preserve">5 cm vastag  hőszigetelés, fűtési csővezetéken, felerősítéssel, az illesztési helyeken gondos kialakításával, ragasztással, alu.lemez védőburkolattal Ø28 csővezetéken   </t>
  </si>
  <si>
    <t>Fűtési keringtető szivattyú frekvenciaváltós elektronikus szabályozással, beépíthető kapcsolóval motorvédelemhez, felszerelve, bekötve, kötési és tömítési elmekkel
  75 W ( 230 V)                                                                                                  G =1 m3/h - 4 m3/h                                                                            H=7,5 m.v.o. - 2,5 m.v.o                                                                                P=0,75 W  A energia oszt.</t>
  </si>
  <si>
    <t xml:space="preserve">Mint előző tétel, de                                                                                       G =1 m3/h - 4 m3/h                                                                            H=7,5 m.v.o. - 2,5 m.v.o                                                                                P=0,75 W  A energia oszt.
</t>
  </si>
  <si>
    <t>Gömbcsap , menetes karmantyús csatlakozással, tömítéssel, gázvezetékbe szerelve                                     1"</t>
  </si>
  <si>
    <t xml:space="preserve">Égéstermék elvezető kéményrendszer és füstgáz elvezető cső, zárt égésterű falikazánhoz, az összes gyártó cégi szerkezeti és biztonságtechnikai rendszer elemével együtt, hőszigeteléssel, tetőfödém fölötti kitorkolással, kondenzvíz elvezetéssel , tartószerkezettel, építési elemekkel, komplett gyártócégi berendezés, a  kazángyártó szállításában                                              Ø150/100                                         hatásos kéményhossz  7,0 m  </t>
  </si>
  <si>
    <r>
      <rPr>
        <sz val="11"/>
        <color indexed="8"/>
        <rFont val="Times New Roman"/>
        <family val="1"/>
        <charset val="238"/>
      </rPr>
      <t xml:space="preserve">Beltéri hővisszanyeréses légkezelő egység   szűrőkkel, 2 db ventilátorral, fűtő és hővisszanyeréses hőcserélőkkel, szabályozó zsalukkal, rezgéscsillapító közdarabban szerelve, rögzítési és tartó - függesztő elemekkel, felületvédelemmel, teljes automatikával  komplett gyártó cégi berendezés:
 V=800 m3/h
 dpcsat=300Pa
 - Fűtő hőcserélőmelegvízre  
 - Befúvó ventillátor 
  N = 2,2 kW 
Szabályozott, légszállítással
A befúvott levegő hőmérsékletét +24 C°) állandó értéken tartó szabályozással, fagy elleni védelemmel, érzékelők szolgáltatásával, komplett automatikával, elektromos megtáplálással, működtetéssel. A működtető áramkörök a villamos fogyasztók kábelezése és bekötése a gyártócég feladata.
</t>
    </r>
    <r>
      <rPr>
        <sz val="10"/>
        <color indexed="8"/>
        <rFont val="Times New Roman"/>
        <family val="1"/>
        <charset val="238"/>
      </rPr>
      <t xml:space="preserve">
</t>
    </r>
  </si>
  <si>
    <t xml:space="preserve">Csőhéj hőszigetelés a beltérben lévő légcsatorna szakaszon, habcsík lezárással, ragasztással, 3 cm vtg.csőhéjalással
NÁ 315
</t>
  </si>
  <si>
    <t xml:space="preserve">Kör keresztmetszetű egyenes   légcsatorna,  kötésekkel, tömítéssel,  aluminium lemezből, szűkítő  elemekkel, tartószerkezettel, az igényeknek megfelelő helyszíni darabolással, a szükséges idom- és csőkapcsoló elemekkel                   NÁ315
</t>
  </si>
  <si>
    <t>Kör keresztmetszetű csőrendszerben pillangószelepek, tömítő és kötési elemekkel
NÁ200</t>
  </si>
  <si>
    <t>Légrács felvételére alkalmas idomok kör keresztmetszetű csőrendszerben
beépített 2 soros aprólamellás, szabályozó- zsalus anemosztáttal kötési és tömítési elemekkel
NA200/300x100</t>
  </si>
  <si>
    <t>Kör keresztmetszetű csőrendszerbe építhető csőhangcsillapító, kötési és tömítési elemekkel                                                NÁ315-  l= 1000 mm</t>
  </si>
  <si>
    <t>Tetőátvezetések a kitorkoló aluminium kör keresztmetszetű csövek végére esővédő sisakkal, tömítési kötési elemekkel
NÁ315</t>
  </si>
  <si>
    <t>Beütőék, hüvellyel
M6</t>
  </si>
  <si>
    <r>
      <t xml:space="preserve"> Elszívó fali ventilátor visszacsapó szeleppel gyártó cégi beépítési elemekkel
V = 154 m</t>
    </r>
    <r>
      <rPr>
        <vertAlign val="superscript"/>
        <sz val="12"/>
        <color indexed="8"/>
        <rFont val="Times New Roman"/>
        <family val="1"/>
        <charset val="238"/>
      </rPr>
      <t>3</t>
    </r>
    <r>
      <rPr>
        <sz val="12"/>
        <color indexed="8"/>
        <rFont val="Times New Roman"/>
        <family val="1"/>
        <charset val="238"/>
      </rPr>
      <t>/h
dp = 240 Pa
N = 89 W
230 V ; 50 Hz</t>
    </r>
  </si>
  <si>
    <r>
      <t>Konyhai elszívó ernyő  elszívó ventilátorral, gyártó cégi beépítési elemekkel
V = 270-440 m</t>
    </r>
    <r>
      <rPr>
        <vertAlign val="superscript"/>
        <sz val="12"/>
        <color indexed="8"/>
        <rFont val="Times New Roman"/>
        <family val="1"/>
        <charset val="238"/>
      </rPr>
      <t>3</t>
    </r>
    <r>
      <rPr>
        <sz val="12"/>
        <color indexed="8"/>
        <rFont val="Times New Roman"/>
        <family val="1"/>
        <charset val="238"/>
      </rPr>
      <t>/h
N = 185 W
230 V; 50 Hz
Ernyő alsó sík padlótól 2,0 m</t>
    </r>
  </si>
  <si>
    <t>Alumínium lemez kör keresztmetsztű csőhálózat darabolással, idomokkal, csőkapcsolóval, kötéssel, tömítési anyaggal
NÁ100</t>
  </si>
  <si>
    <t>Tetőtávezetések a kitorkoló alumínium kör keresztmetszetű csövek végére esővédő sisakkal, tömítési, kötési elemekkel
NÁ150</t>
  </si>
  <si>
    <r>
      <t>Alumínium lemez idomok szerelése csőkapcsolóval, kötéssel, tömítő és rögzítő anyaggal
90</t>
    </r>
    <r>
      <rPr>
        <vertAlign val="superscript"/>
        <sz val="12"/>
        <color indexed="8"/>
        <rFont val="Times New Roman"/>
        <family val="1"/>
        <charset val="238"/>
      </rPr>
      <t>o</t>
    </r>
    <r>
      <rPr>
        <sz val="12"/>
        <color indexed="8"/>
        <rFont val="Times New Roman"/>
        <family val="1"/>
        <charset val="238"/>
      </rPr>
      <t>-os ívidom
NÁ100, NÁ150</t>
    </r>
  </si>
  <si>
    <t>Beütőék hüvelye
M8</t>
  </si>
  <si>
    <r>
      <t>Radiális csőventillátor
V = 1000 m</t>
    </r>
    <r>
      <rPr>
        <vertAlign val="superscript"/>
        <sz val="11"/>
        <color indexed="8"/>
        <rFont val="Times New Roman"/>
        <family val="1"/>
        <charset val="238"/>
      </rPr>
      <t>3</t>
    </r>
    <r>
      <rPr>
        <sz val="11"/>
        <color indexed="8"/>
        <rFont val="Times New Roman"/>
        <family val="1"/>
        <charset val="238"/>
      </rPr>
      <t xml:space="preserve">/h
dp = 200 Pa
P = 0,19 kW (230 V)
szívó és nyomóoldali rezgéscsillapítóval, rögzítő bilinccsel, szerelő konzollal, fali tartószerkezettel, visszacsapó szeleppel, összes gyártócégi elemével együtt, komplett berendezés
</t>
    </r>
  </si>
  <si>
    <r>
      <t>Szívóernyő horganyzott acéllemzből, egyik végén kör keresztmetszetű, másik végén merevített kör keresztmetszetű nyílással, tömítési és kötési elemekkel
NÁ315/</t>
    </r>
    <r>
      <rPr>
        <sz val="12"/>
        <color indexed="8"/>
        <rFont val="Symbol"/>
        <family val="1"/>
        <charset val="2"/>
      </rPr>
      <t>Æ</t>
    </r>
    <r>
      <rPr>
        <sz val="12"/>
        <color indexed="8"/>
        <rFont val="Times New Roman"/>
        <family val="1"/>
        <charset val="238"/>
      </rPr>
      <t>800  L= 500 mm
Lv: 2 mm</t>
    </r>
  </si>
  <si>
    <t>Horganyzott acéllemez kör keresztmetszetű csőhálózat darabolással, idomokkal, csőkapcsolóval, kötéssel, tömítési anyaggal
NÁ315</t>
  </si>
  <si>
    <r>
      <t>Idomok szerelése csőkapcsolóval, kötéssel, tömítő és rögzítő anyaggal
90</t>
    </r>
    <r>
      <rPr>
        <vertAlign val="superscript"/>
        <sz val="12"/>
        <color indexed="8"/>
        <rFont val="Times New Roman"/>
        <family val="1"/>
        <charset val="238"/>
      </rPr>
      <t>o</t>
    </r>
    <r>
      <rPr>
        <sz val="12"/>
        <color indexed="8"/>
        <rFont val="Times New Roman"/>
        <family val="1"/>
        <charset val="238"/>
      </rPr>
      <t>-os ívidom
NÁ315</t>
    </r>
  </si>
  <si>
    <r>
      <t>Kifúvó idom egyik oldalán kör keresztmetszetű, másik végén 45</t>
    </r>
    <r>
      <rPr>
        <vertAlign val="superscript"/>
        <sz val="12"/>
        <color indexed="8"/>
        <rFont val="Times New Roman"/>
        <family val="1"/>
        <charset val="238"/>
      </rPr>
      <t>o</t>
    </r>
    <r>
      <rPr>
        <sz val="12"/>
        <color indexed="8"/>
        <rFont val="Times New Roman"/>
        <family val="1"/>
        <charset val="238"/>
      </rPr>
      <t>-os metszési csőkitorkolással és dróthálóval (10 mm lyukbőség)
NÁ315  L=500 mm</t>
    </r>
  </si>
  <si>
    <t xml:space="preserve">Split rendszerű hűtő- fűtőberendezés, tartószerkezetével, automatikus működtetéssel, villamos hálózati szereléssel komplett berendezés, gyártócégi tartó szerkezettel
Beltéri egység:
   5 db
Q=5x2,8 kW
Kültéri egység:
  1db                                                                                                            Q=14 kW
 </t>
  </si>
  <si>
    <t>Mint előző tétel, de
Beltéri egység:
  2 db
Q=2x1,7 kW                                                                                                        4 db                                                                                                          Q=4x4,5 kW
Kültéri egység:
  1db                                                                                                             Q=22 kW</t>
  </si>
  <si>
    <t>Rézcső korrozióvédett kivitelben, idomdarabokkal, kapilláris kemény forrasztásos kötésekkel, tartószerkezettel, megerősítésekkel, szakaszos nyomáspróbával, szabadon szerelve,  csőhéj szigeteléssel együtt, védő burkolattal
Ø 6</t>
  </si>
  <si>
    <t xml:space="preserve"> PE cső hegesztett kivitelben idomdarabokkal, tartószerkezettel, megerősítésekkel, szakaszos nyomáspróbával, szabadon szerelve,  csőhéj szigeteléssel együtt, védő burkolattal
Ø20 PE </t>
  </si>
  <si>
    <t>Üzemi épülethez csatlakozó Pe-acél kötéssel, fal mellé felállással dn32 PE / DN25 acél</t>
  </si>
  <si>
    <t>Zárható lemezszekrény  DN25 acél csatlakozásokkal. Szekrény tartalma belépő-, kilépő oldali elzáró, gázszűrő, összekötő fej, szerelő panel</t>
  </si>
  <si>
    <t>MG-6-os mérő (szolgáltató adja),  a 3. tételben kiírt szekrényben elhelyezve</t>
  </si>
  <si>
    <r>
      <t>EKB 10-es nyomásszabályozó Qmax 10 m</t>
    </r>
    <r>
      <rPr>
        <vertAlign val="superscript"/>
        <sz val="12"/>
        <rFont val="Times New Roman"/>
        <family val="1"/>
        <charset val="238"/>
      </rPr>
      <t>3</t>
    </r>
    <r>
      <rPr>
        <sz val="12"/>
        <rFont val="Times New Roman"/>
        <family val="1"/>
        <charset val="238"/>
      </rPr>
      <t>/h. a 3. tételben kiírt szekrényben elhelyezve</t>
    </r>
  </si>
  <si>
    <t>Műanyag aknás szennyvízátemelő építése, nedvesaknás szv. szivattyúval, (1+1tartalék, Qn=1,2 l/s Hn=8,3 m ), szerelvényekkel, fedlappal kompletten (energia ellátás külön)</t>
  </si>
  <si>
    <t xml:space="preserve">Tűzivízkivételi kút építése (fúrt csőkút) építése háromfázisú többfokozatú merülőmotoros szivattyúval (Qn=15 l/s;  Hn=37 m Pn=6,9kW) DN125 termelőcsővel, szűrőcsővel kompletten (energiaell. külön) </t>
  </si>
  <si>
    <t xml:space="preserve"> - A vízgépészeti berendezések mozgatásához AUMA típusú gyártmányegységek kerültek megadásra, de nem kizárt  más, a megadottakkal egyenértékű, egyéb gyártó gyártmányainak alkalmazása.</t>
  </si>
  <si>
    <t xml:space="preserve">Betonfelület felületképzése 
● Vékonnyvakolat alapozó
● vékonyvakolat
:- Max. szemnagyság:2 mm kapart
- Sűrűség: kb. 1,8 kg/dm3
- Hővezetési tényező (λ):: 0,70 W/mK
- Páradiffúziós ellenállás: (µ):kb. 20 - 30
- Vízfelvételi tényező (w-érték)&lt; 0,20 
- sd-érték: 0,04 - 0,05 m (2 mm-es rétegvastagságnál)
( I. szín)
</t>
  </si>
  <si>
    <t>Betonfelület felületképzése 
● Vékonnyvakolat alapozó
● vékonyvakolat
:- Max. szemnagyság:2 mm kapart
- Sűrűség: kb. 1,8 kg/dm3
- Hővezetési tényező (λ):: 0,70 W/mK
- Páradiffúziós ellenállás: (µ):kb. 20 - 30
- Vízfelvételi tényező (w-érték)&lt; 0,20 
- sd-érték: 0,04 - 0,05 m (2 mm-es rétegvastagságnál)
( III. szín)</t>
  </si>
  <si>
    <t xml:space="preserve">20' zárható anyagtároló konténer </t>
  </si>
  <si>
    <t>áramfejlesztő aggregát (6,5 kW hegesztő-áramfejlesztő)</t>
  </si>
  <si>
    <t>magasnyomású hideg-melegvízes mosó (robbanómotoros, 
max. teljesítmény min100 bar, vízszállítási képesség min. 250 l/h)</t>
  </si>
  <si>
    <t>iszapszivattyúk (2,5 kW teljesítményű zagyszivattyúk, 
minimum 16 m emelőmagassággal,30 m3/h vízszállítással)</t>
  </si>
  <si>
    <t>Cementtej kitöltés  nagymértékben
 duzzadóképes agyagpellet szigeteléssel</t>
  </si>
  <si>
    <t xml:space="preserve">Kiviteli terv szerint üzemben előregyártott, méretezett előfeszített vasbeton hídgerenda helyszínre szállítása, beemelése és elhelyezése 
az e-ÚT 07.01.12:2011 sz. Útügyi Műszaki Előírás szerinti „A” jelű terhelésre
90 cm magas, 10,80 m hosszú, 40+40 cm felfekvési hosszal (10,00  m szabad  nyílással),  min. 750 kNm ill. min 1700 kNm törőnyomatékkal
</t>
  </si>
  <si>
    <t xml:space="preserve">Kiviteli terv szerint üzemben előregyártott, méretezett előfeszített vasbeton hídgerenda helyszínre szállítása, beemelése és elhelyezése
az e-ÚT 07.01.12:2011 sz. Útügyi Műszaki Előírás szerinti „A” jelű terhelésre
90 cm magas, 17,80 m hosszú, 40+40 cm felfekvési hosszal (17,00 m szabad  nyílással),  min. 750 kNm ill. min 1700 kNm törőnyomatékkal
</t>
  </si>
  <si>
    <t>TÁJÉKOZTATÓ Mennyiségi kiírás</t>
  </si>
  <si>
    <t xml:space="preserve">A „Mosoni –Duna torkolati szakaszának vízszint-rehabilitációja” (KEHOP-1.3.0-15-2016-00012) projekt </t>
  </si>
  <si>
    <r>
      <t xml:space="preserve">Az indikatív tervdokumentációban (5. kötet) szereplő (jelen) </t>
    </r>
    <r>
      <rPr>
        <b/>
        <sz val="11"/>
        <color theme="1"/>
        <rFont val="Calibri"/>
        <family val="2"/>
        <charset val="238"/>
        <scheme val="minor"/>
      </rPr>
      <t>mennyiség-kimutatási táblák csak információt tartalmaznak</t>
    </r>
    <r>
      <rPr>
        <sz val="11"/>
        <color theme="1"/>
        <rFont val="Calibri"/>
        <family val="2"/>
        <charset val="238"/>
        <scheme val="minor"/>
      </rPr>
      <t xml:space="preserve"> a részletesebb munkamennyiségekre. Ezek az Ajánlat részét képező „Ajánlati Ár Bontása” </t>
    </r>
    <r>
      <rPr>
        <b/>
        <sz val="11"/>
        <color theme="1"/>
        <rFont val="Calibri"/>
        <family val="2"/>
        <charset val="238"/>
        <scheme val="minor"/>
      </rPr>
      <t>tábla kitöltéséhez nyújtanak segítséget,</t>
    </r>
    <r>
      <rPr>
        <sz val="11"/>
        <color theme="1"/>
        <rFont val="Calibri"/>
        <family val="2"/>
        <charset val="238"/>
        <scheme val="minor"/>
      </rPr>
      <t xml:space="preserve"> </t>
    </r>
    <r>
      <rPr>
        <b/>
        <sz val="11"/>
        <color theme="1"/>
        <rFont val="Calibri"/>
        <family val="2"/>
        <charset val="238"/>
        <scheme val="minor"/>
      </rPr>
      <t>nem kell beárazni.</t>
    </r>
  </si>
  <si>
    <t xml:space="preserve">A jelen kiírás a vízjogi létesítési engedélyezési tervek, és Ajánlati tervdokumentáció alapján készült, a benne szereplő mennyiségek TÁJÉKOZTATÓ jellegűek, a kiviteli tervek elkészítése, és a tételes költségvetés készítése a vállalkozó feladata. </t>
  </si>
  <si>
    <t>5. kötet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</si>
</sst>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charset val="238"/>
      <scheme val="minor"/>
    </font>
    <font>
      <b/>
      <sz val="12"/>
      <color indexed="8"/>
      <name val="Times New Roman"/>
      <family val="1"/>
      <charset val="238"/>
    </font>
    <font>
      <b/>
      <sz val="14"/>
      <color indexed="8"/>
      <name val="Times New Roman"/>
      <family val="1"/>
      <charset val="238"/>
    </font>
    <font>
      <sz val="12"/>
      <color indexed="8"/>
      <name val="Times New Roman"/>
      <family val="1"/>
      <charset val="238"/>
    </font>
    <font>
      <vertAlign val="superscript"/>
      <sz val="12"/>
      <color indexed="8"/>
      <name val="Times New Roman"/>
      <family val="1"/>
      <charset val="238"/>
    </font>
    <font>
      <b/>
      <sz val="12"/>
      <color indexed="8"/>
      <name val="Calibri"/>
      <family val="2"/>
      <charset val="238"/>
    </font>
    <font>
      <sz val="12"/>
      <color indexed="8"/>
      <name val="Calibri"/>
      <family val="2"/>
      <charset val="238"/>
    </font>
    <font>
      <sz val="12"/>
      <name val="Times New Roman"/>
      <family val="1"/>
      <charset val="238"/>
    </font>
    <font>
      <b/>
      <sz val="12"/>
      <name val="Times New Roman"/>
      <family val="1"/>
      <charset val="238"/>
    </font>
    <font>
      <sz val="11"/>
      <color rgb="FF7030A0"/>
      <name val="Calibri"/>
      <family val="2"/>
      <charset val="238"/>
      <scheme val="minor"/>
    </font>
    <font>
      <sz val="12"/>
      <name val="Times New Roman"/>
      <family val="1"/>
    </font>
    <font>
      <b/>
      <sz val="12"/>
      <color indexed="8"/>
      <name val="Calibri"/>
      <family val="2"/>
      <charset val="238"/>
      <scheme val="minor"/>
    </font>
    <font>
      <sz val="12"/>
      <color theme="1"/>
      <name val="Times New Roman"/>
      <family val="1"/>
      <charset val="238"/>
    </font>
    <font>
      <b/>
      <sz val="12"/>
      <color theme="1"/>
      <name val="Times New Roman"/>
      <family val="1"/>
      <charset val="238"/>
    </font>
    <font>
      <b/>
      <sz val="12"/>
      <color theme="1"/>
      <name val="Calibri"/>
      <family val="2"/>
      <charset val="238"/>
      <scheme val="minor"/>
    </font>
    <font>
      <vertAlign val="superscript"/>
      <sz val="12"/>
      <name val="Times New Roman"/>
      <family val="1"/>
      <charset val="238"/>
    </font>
    <font>
      <sz val="12"/>
      <color rgb="FFFF0000"/>
      <name val="Times New Roman"/>
      <family val="1"/>
      <charset val="238"/>
    </font>
    <font>
      <vertAlign val="subscript"/>
      <sz val="12"/>
      <name val="Times New Roman"/>
      <family val="1"/>
      <charset val="238"/>
    </font>
    <font>
      <b/>
      <sz val="11"/>
      <name val="Times New Roman"/>
      <family val="1"/>
      <charset val="238"/>
    </font>
    <font>
      <sz val="12"/>
      <name val="Symbol"/>
      <family val="1"/>
      <charset val="2"/>
    </font>
    <font>
      <vertAlign val="subscript"/>
      <sz val="12"/>
      <color indexed="8"/>
      <name val="Times New Roman"/>
      <family val="1"/>
      <charset val="238"/>
    </font>
    <font>
      <sz val="11"/>
      <color rgb="FF9C6500"/>
      <name val="Calibri"/>
      <family val="2"/>
      <charset val="238"/>
      <scheme val="minor"/>
    </font>
    <font>
      <sz val="11"/>
      <color indexed="8"/>
      <name val="Times New Roman"/>
      <family val="1"/>
      <charset val="238"/>
    </font>
    <font>
      <sz val="12"/>
      <color indexed="8"/>
      <name val="Symbol"/>
      <family val="1"/>
      <charset val="2"/>
    </font>
    <font>
      <sz val="10"/>
      <color indexed="8"/>
      <name val="Times New Roman"/>
      <family val="1"/>
      <charset val="238"/>
    </font>
    <font>
      <vertAlign val="superscript"/>
      <sz val="11"/>
      <color indexed="8"/>
      <name val="Times New Roman"/>
      <family val="1"/>
      <charset val="238"/>
    </font>
    <font>
      <sz val="11"/>
      <color theme="1"/>
      <name val="Times New Roman"/>
      <family val="1"/>
      <charset val="238"/>
    </font>
    <font>
      <sz val="11"/>
      <name val="Calibri"/>
      <family val="2"/>
      <charset val="238"/>
      <scheme val="minor"/>
    </font>
    <font>
      <b/>
      <sz val="16"/>
      <color theme="1"/>
      <name val="Times New Roman"/>
      <family val="1"/>
      <charset val="238"/>
    </font>
    <font>
      <sz val="12"/>
      <name val="Calibri"/>
      <family val="2"/>
      <charset val="238"/>
    </font>
    <font>
      <b/>
      <sz val="11"/>
      <color theme="1"/>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xf numFmtId="0" fontId="21" fillId="2" borderId="0" applyNumberFormat="0" applyBorder="0" applyAlignment="0" applyProtection="0"/>
  </cellStyleXfs>
  <cellXfs count="481">
    <xf numFmtId="0" fontId="0" fillId="0" borderId="0" xfId="0"/>
    <xf numFmtId="0" fontId="0" fillId="0" borderId="0" xfId="0"/>
    <xf numFmtId="0" fontId="6" fillId="0" borderId="0" xfId="0" applyFont="1" applyBorder="1" applyAlignment="1">
      <alignment vertical="center"/>
    </xf>
    <xf numFmtId="0" fontId="1" fillId="0" borderId="3" xfId="0" applyFont="1" applyBorder="1" applyAlignment="1">
      <alignment horizontal="center" vertical="center"/>
    </xf>
    <xf numFmtId="0" fontId="3" fillId="0" borderId="3" xfId="0" applyFont="1" applyBorder="1" applyAlignment="1">
      <alignment horizontal="left" vertical="center" wrapText="1"/>
    </xf>
    <xf numFmtId="0" fontId="1" fillId="0" borderId="2" xfId="0" applyFont="1" applyBorder="1" applyAlignment="1">
      <alignment horizontal="center" vertical="center"/>
    </xf>
    <xf numFmtId="0" fontId="0" fillId="0" borderId="0" xfId="0"/>
    <xf numFmtId="0" fontId="0" fillId="0" borderId="0" xfId="0"/>
    <xf numFmtId="0" fontId="0" fillId="0" borderId="0" xfId="0"/>
    <xf numFmtId="0" fontId="3" fillId="0" borderId="0" xfId="0" applyFont="1" applyBorder="1" applyAlignment="1">
      <alignment horizontal="center" vertical="center"/>
    </xf>
    <xf numFmtId="164" fontId="3" fillId="0" borderId="3"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3" xfId="0" applyFont="1" applyBorder="1" applyAlignment="1">
      <alignment horizontal="left" vertical="center"/>
    </xf>
    <xf numFmtId="0" fontId="1"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Fill="1" applyBorder="1"/>
    <xf numFmtId="0" fontId="3" fillId="0" borderId="2" xfId="0" applyFont="1" applyBorder="1" applyAlignment="1">
      <alignment horizontal="left" vertical="center"/>
    </xf>
    <xf numFmtId="0" fontId="7" fillId="0" borderId="2" xfId="0" applyFont="1" applyBorder="1" applyAlignment="1">
      <alignment vertical="top" wrapText="1"/>
    </xf>
    <xf numFmtId="165" fontId="12" fillId="0" borderId="2" xfId="0" applyNumberFormat="1" applyFont="1" applyBorder="1" applyAlignment="1">
      <alignment vertical="top" wrapText="1"/>
    </xf>
    <xf numFmtId="0" fontId="11" fillId="0" borderId="0" xfId="0" applyFont="1" applyBorder="1" applyAlignment="1">
      <alignment vertical="center"/>
    </xf>
    <xf numFmtId="164" fontId="3" fillId="0" borderId="2" xfId="0" applyNumberFormat="1" applyFont="1" applyBorder="1" applyAlignment="1">
      <alignment horizontal="left" vertical="center"/>
    </xf>
    <xf numFmtId="0" fontId="7" fillId="0" borderId="0" xfId="0" applyFont="1" applyBorder="1" applyAlignment="1">
      <alignment horizontal="center" vertical="center" wrapText="1"/>
    </xf>
    <xf numFmtId="0" fontId="13" fillId="0" borderId="5" xfId="0" applyFont="1" applyBorder="1"/>
    <xf numFmtId="3" fontId="3" fillId="0" borderId="3" xfId="0" applyNumberFormat="1" applyFont="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3" fillId="0" borderId="1" xfId="0" applyFont="1" applyFill="1" applyBorder="1" applyAlignment="1">
      <alignment vertical="top" wrapText="1"/>
    </xf>
    <xf numFmtId="3" fontId="3" fillId="0" borderId="3"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3" fontId="0" fillId="0" borderId="0" xfId="0" applyNumberFormat="1" applyFill="1" applyBorder="1"/>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quotePrefix="1" applyFont="1" applyBorder="1" applyAlignment="1">
      <alignment horizontal="left" vertical="center" wrapText="1"/>
    </xf>
    <xf numFmtId="0" fontId="7" fillId="0" borderId="2" xfId="0" quotePrefix="1" applyFont="1" applyBorder="1" applyAlignment="1">
      <alignment horizontal="left" vertical="top" wrapText="1"/>
    </xf>
    <xf numFmtId="0" fontId="7" fillId="0" borderId="3" xfId="0" quotePrefix="1" applyFont="1" applyBorder="1" applyAlignment="1">
      <alignment horizontal="left"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top" wrapText="1"/>
    </xf>
    <xf numFmtId="0" fontId="7" fillId="0" borderId="3" xfId="0" quotePrefix="1" applyFont="1" applyBorder="1" applyAlignment="1">
      <alignment horizontal="left" vertical="top" wrapText="1"/>
    </xf>
    <xf numFmtId="0" fontId="3" fillId="0" borderId="3" xfId="0" applyFont="1" applyBorder="1" applyAlignment="1">
      <alignment horizontal="center" vertical="center"/>
    </xf>
    <xf numFmtId="0" fontId="3" fillId="0" borderId="0"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3" xfId="0" applyFont="1" applyBorder="1" applyAlignment="1">
      <alignment horizontal="center" vertic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2" xfId="0" applyFont="1" applyBorder="1" applyAlignment="1">
      <alignment horizontal="left" vertical="center" wrapText="1"/>
    </xf>
    <xf numFmtId="164" fontId="3" fillId="0" borderId="2" xfId="0" applyNumberFormat="1" applyFont="1" applyFill="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left" vertical="top" wrapText="1"/>
    </xf>
    <xf numFmtId="1" fontId="7" fillId="0" borderId="2" xfId="1" applyNumberFormat="1" applyFont="1" applyFill="1" applyBorder="1" applyAlignment="1">
      <alignment horizontal="center" vertical="center"/>
    </xf>
    <xf numFmtId="2"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3" fillId="0" borderId="2" xfId="0" applyFont="1" applyFill="1" applyBorder="1" applyAlignment="1">
      <alignment horizontal="left" vertical="center" wrapText="1"/>
    </xf>
    <xf numFmtId="2" fontId="7"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2" fontId="7" fillId="0" borderId="3" xfId="0" applyNumberFormat="1" applyFont="1" applyFill="1" applyBorder="1" applyAlignment="1">
      <alignment horizontal="center" vertical="center"/>
    </xf>
    <xf numFmtId="0" fontId="1" fillId="0" borderId="0" xfId="0" applyFont="1" applyBorder="1" applyAlignment="1">
      <alignment horizontal="lef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7" fillId="0" borderId="25" xfId="0" applyFont="1" applyBorder="1" applyAlignment="1">
      <alignment horizontal="left" vertical="top" wrapText="1"/>
    </xf>
    <xf numFmtId="3" fontId="7" fillId="0" borderId="25" xfId="0" applyNumberFormat="1" applyFont="1" applyBorder="1" applyAlignment="1">
      <alignment horizontal="center" vertical="center"/>
    </xf>
    <xf numFmtId="0" fontId="7" fillId="0" borderId="25" xfId="0" applyFont="1" applyBorder="1" applyAlignment="1">
      <alignment horizontal="center" vertical="center"/>
    </xf>
    <xf numFmtId="3" fontId="7" fillId="0" borderId="2" xfId="0" applyNumberFormat="1" applyFont="1" applyBorder="1" applyAlignment="1">
      <alignment horizontal="center" vertical="center"/>
    </xf>
    <xf numFmtId="0" fontId="7" fillId="0" borderId="2" xfId="0" applyFont="1" applyFill="1" applyBorder="1" applyAlignment="1">
      <alignment horizontal="left" vertical="top" wrapText="1"/>
    </xf>
    <xf numFmtId="0" fontId="3" fillId="0" borderId="0" xfId="0" applyFont="1" applyBorder="1" applyAlignment="1">
      <alignment horizontal="left" vertical="center" wrapText="1"/>
    </xf>
    <xf numFmtId="0" fontId="7" fillId="0" borderId="3" xfId="0" applyFont="1" applyBorder="1" applyAlignment="1">
      <alignment horizontal="left" vertical="top" wrapText="1"/>
    </xf>
    <xf numFmtId="0" fontId="7" fillId="0" borderId="3" xfId="0" applyFont="1" applyBorder="1" applyAlignment="1">
      <alignment horizontal="center" vertical="center"/>
    </xf>
    <xf numFmtId="0" fontId="3" fillId="0" borderId="2" xfId="0" applyFont="1" applyFill="1" applyBorder="1" applyAlignment="1">
      <alignment horizontal="left" vertical="top" wrapText="1"/>
    </xf>
    <xf numFmtId="0" fontId="7" fillId="0" borderId="25" xfId="0" applyFont="1" applyBorder="1" applyAlignment="1">
      <alignment horizontal="left" vertical="center" wrapText="1"/>
    </xf>
    <xf numFmtId="165" fontId="8" fillId="0" borderId="4" xfId="0" applyNumberFormat="1" applyFont="1" applyBorder="1" applyAlignment="1">
      <alignment horizontal="center" vertical="center"/>
    </xf>
    <xf numFmtId="0" fontId="1" fillId="0" borderId="0" xfId="0" applyFont="1" applyBorder="1" applyAlignment="1">
      <alignment horizontal="left" vertical="center"/>
    </xf>
    <xf numFmtId="164" fontId="7" fillId="0" borderId="2" xfId="0" applyNumberFormat="1" applyFont="1" applyBorder="1" applyAlignment="1">
      <alignment horizontal="center" vertical="center" wrapText="1"/>
    </xf>
    <xf numFmtId="165" fontId="8" fillId="0" borderId="0" xfId="0" applyNumberFormat="1" applyFont="1" applyBorder="1" applyAlignment="1">
      <alignment horizontal="center" vertical="center"/>
    </xf>
    <xf numFmtId="0" fontId="26" fillId="0" borderId="0" xfId="0" applyFont="1" applyFill="1" applyBorder="1"/>
    <xf numFmtId="0" fontId="7" fillId="0" borderId="10" xfId="0" applyFont="1" applyBorder="1" applyAlignment="1">
      <alignment vertical="top" wrapText="1"/>
    </xf>
    <xf numFmtId="3" fontId="7" fillId="0" borderId="2" xfId="0" applyNumberFormat="1" applyFont="1" applyBorder="1" applyAlignment="1">
      <alignment horizontal="left" vertical="center"/>
    </xf>
    <xf numFmtId="0" fontId="7" fillId="0" borderId="2" xfId="0" applyFont="1" applyBorder="1" applyAlignment="1">
      <alignment horizontal="left" vertical="center"/>
    </xf>
    <xf numFmtId="0" fontId="26" fillId="0" borderId="0" xfId="0" applyFont="1"/>
    <xf numFmtId="0" fontId="7" fillId="0" borderId="0" xfId="0" applyFont="1" applyBorder="1" applyAlignment="1">
      <alignment horizontal="left" vertical="center" wrapText="1"/>
    </xf>
    <xf numFmtId="3" fontId="3" fillId="0" borderId="0" xfId="0" applyNumberFormat="1" applyFont="1" applyBorder="1" applyAlignment="1">
      <alignment horizontal="center" vertical="center"/>
    </xf>
    <xf numFmtId="0" fontId="12" fillId="0" borderId="0" xfId="0" applyFont="1"/>
    <xf numFmtId="0" fontId="3" fillId="0" borderId="0" xfId="0" applyFont="1" applyBorder="1" applyAlignment="1">
      <alignment vertical="center"/>
    </xf>
    <xf numFmtId="3" fontId="7" fillId="0" borderId="3" xfId="0" applyNumberFormat="1" applyFont="1" applyBorder="1" applyAlignment="1">
      <alignment horizontal="center" vertical="center"/>
    </xf>
    <xf numFmtId="0" fontId="13" fillId="0" borderId="0" xfId="0" applyFont="1" applyBorder="1"/>
    <xf numFmtId="3"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7" fillId="0" borderId="2" xfId="0" applyFont="1" applyBorder="1" applyAlignment="1">
      <alignment vertical="top"/>
    </xf>
    <xf numFmtId="0" fontId="3" fillId="0" borderId="0" xfId="0" applyFont="1" applyBorder="1" applyAlignment="1">
      <alignment horizontal="left" vertical="center"/>
    </xf>
    <xf numFmtId="0" fontId="1" fillId="0" borderId="0" xfId="0" applyFont="1" applyBorder="1" applyAlignment="1">
      <alignment horizontal="center" vertical="center"/>
    </xf>
    <xf numFmtId="164" fontId="3" fillId="0" borderId="0"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7" fillId="0" borderId="0" xfId="0" applyFont="1" applyBorder="1" applyAlignment="1">
      <alignment vertical="top" wrapText="1"/>
    </xf>
    <xf numFmtId="0" fontId="8" fillId="0" borderId="0" xfId="0" applyFont="1" applyBorder="1" applyAlignment="1">
      <alignment horizontal="center" vertical="center" wrapText="1"/>
    </xf>
    <xf numFmtId="1" fontId="3" fillId="0" borderId="3"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8" fillId="0" borderId="31" xfId="0" applyFont="1" applyFill="1" applyBorder="1" applyAlignment="1">
      <alignment horizontal="center" vertical="center" wrapText="1"/>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0" fillId="0" borderId="2" xfId="0" applyBorder="1"/>
    <xf numFmtId="0" fontId="8" fillId="0" borderId="26"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3" fillId="0" borderId="10" xfId="0" applyFont="1" applyBorder="1" applyAlignment="1">
      <alignment horizontal="left" vertical="center"/>
    </xf>
    <xf numFmtId="0" fontId="7" fillId="0" borderId="10" xfId="1" applyFont="1" applyFill="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3" fillId="0" borderId="15" xfId="0" applyFont="1" applyBorder="1" applyAlignment="1">
      <alignment horizontal="left" vertical="center"/>
    </xf>
    <xf numFmtId="0" fontId="12" fillId="0" borderId="2" xfId="0" applyFont="1" applyBorder="1"/>
    <xf numFmtId="165" fontId="10" fillId="0" borderId="2" xfId="0" applyNumberFormat="1" applyFont="1" applyBorder="1" applyAlignment="1">
      <alignment vertical="top" wrapText="1"/>
    </xf>
    <xf numFmtId="0" fontId="1" fillId="0" borderId="2" xfId="0" applyFont="1" applyBorder="1" applyAlignment="1">
      <alignment vertical="center"/>
    </xf>
    <xf numFmtId="0" fontId="12" fillId="0" borderId="3" xfId="0" applyFont="1" applyBorder="1"/>
    <xf numFmtId="0" fontId="0" fillId="0" borderId="3" xfId="0" applyBorder="1"/>
    <xf numFmtId="0" fontId="6" fillId="0" borderId="6" xfId="0" applyFont="1" applyBorder="1" applyAlignment="1">
      <alignment vertical="center"/>
    </xf>
    <xf numFmtId="0" fontId="12" fillId="0" borderId="6" xfId="0" applyFont="1" applyBorder="1"/>
    <xf numFmtId="0" fontId="12" fillId="0" borderId="4" xfId="0" applyFont="1" applyBorder="1"/>
    <xf numFmtId="0" fontId="12" fillId="0" borderId="5" xfId="0" applyFont="1" applyBorder="1"/>
    <xf numFmtId="0" fontId="0" fillId="0" borderId="6" xfId="0" applyBorder="1"/>
    <xf numFmtId="0" fontId="0" fillId="0" borderId="4" xfId="0" applyBorder="1"/>
    <xf numFmtId="0" fontId="0" fillId="0" borderId="5" xfId="0" applyBorder="1"/>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12" fillId="0" borderId="21" xfId="0" applyFont="1" applyBorder="1"/>
    <xf numFmtId="0" fontId="12" fillId="0" borderId="22" xfId="0" applyFont="1" applyBorder="1"/>
    <xf numFmtId="0" fontId="12" fillId="0" borderId="23" xfId="0" applyFont="1" applyBorder="1"/>
    <xf numFmtId="0" fontId="12" fillId="0" borderId="34" xfId="0" applyFont="1" applyBorder="1"/>
    <xf numFmtId="0" fontId="12" fillId="0" borderId="35" xfId="0" applyFont="1" applyBorder="1"/>
    <xf numFmtId="0" fontId="12" fillId="0" borderId="36" xfId="0" applyFont="1" applyBorder="1"/>
    <xf numFmtId="0" fontId="0" fillId="0" borderId="10" xfId="0" applyBorder="1"/>
    <xf numFmtId="0" fontId="0" fillId="0" borderId="1" xfId="0" applyBorder="1"/>
    <xf numFmtId="0" fontId="0" fillId="0" borderId="24" xfId="0" applyBorder="1"/>
    <xf numFmtId="0" fontId="6" fillId="0" borderId="10" xfId="0" applyFont="1" applyBorder="1" applyAlignment="1">
      <alignment vertical="center"/>
    </xf>
    <xf numFmtId="0" fontId="6" fillId="0" borderId="1" xfId="0" applyFont="1" applyBorder="1" applyAlignment="1">
      <alignment vertical="center"/>
    </xf>
    <xf numFmtId="0" fontId="6" fillId="0" borderId="24" xfId="0" applyFont="1" applyBorder="1" applyAlignment="1">
      <alignment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0" xfId="0" applyFont="1" applyBorder="1"/>
    <xf numFmtId="0" fontId="12" fillId="0" borderId="25" xfId="0" applyFont="1" applyBorder="1"/>
    <xf numFmtId="0" fontId="0" fillId="0" borderId="11" xfId="0" applyBorder="1"/>
    <xf numFmtId="0" fontId="0" fillId="0" borderId="21" xfId="0" applyBorder="1"/>
    <xf numFmtId="0" fontId="0" fillId="0" borderId="22" xfId="0" applyBorder="1"/>
    <xf numFmtId="0" fontId="0" fillId="0" borderId="23" xfId="0" applyBorder="1"/>
    <xf numFmtId="0" fontId="0" fillId="0" borderId="34" xfId="0" applyBorder="1"/>
    <xf numFmtId="0" fontId="0" fillId="0" borderId="35" xfId="0" applyBorder="1"/>
    <xf numFmtId="0" fontId="0" fillId="0" borderId="36" xfId="0" applyBorder="1"/>
    <xf numFmtId="0" fontId="0" fillId="0" borderId="0" xfId="0" applyBorder="1"/>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0" fillId="0" borderId="15" xfId="0" applyBorder="1"/>
    <xf numFmtId="0" fontId="0" fillId="0" borderId="17" xfId="0" applyBorder="1"/>
    <xf numFmtId="0" fontId="0" fillId="0" borderId="18" xfId="0" applyBorder="1"/>
    <xf numFmtId="0" fontId="12" fillId="0" borderId="10" xfId="0" applyFont="1" applyBorder="1"/>
    <xf numFmtId="0" fontId="12" fillId="0" borderId="1" xfId="0" applyFont="1" applyBorder="1"/>
    <xf numFmtId="0" fontId="12" fillId="0" borderId="24" xfId="0" applyFont="1" applyBorder="1"/>
    <xf numFmtId="0" fontId="1" fillId="0" borderId="25" xfId="0" applyFont="1" applyFill="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24" xfId="0" applyFont="1" applyBorder="1" applyAlignment="1">
      <alignment vertical="center"/>
    </xf>
    <xf numFmtId="0" fontId="0" fillId="0" borderId="2" xfId="0" applyFill="1" applyBorder="1"/>
    <xf numFmtId="0" fontId="0" fillId="0" borderId="3" xfId="0" applyFill="1" applyBorder="1"/>
    <xf numFmtId="0" fontId="12" fillId="0" borderId="16" xfId="0" applyFont="1" applyBorder="1"/>
    <xf numFmtId="0" fontId="12" fillId="0" borderId="37" xfId="0" applyFont="1" applyBorder="1"/>
    <xf numFmtId="0" fontId="12" fillId="0" borderId="38" xfId="0" applyFont="1" applyBorder="1"/>
    <xf numFmtId="0" fontId="6" fillId="0" borderId="15" xfId="0" applyFont="1" applyBorder="1" applyAlignment="1">
      <alignment vertical="center"/>
    </xf>
    <xf numFmtId="0" fontId="9" fillId="0" borderId="2" xfId="0" applyFont="1" applyBorder="1" applyAlignment="1">
      <alignment horizontal="left" vertical="center"/>
    </xf>
    <xf numFmtId="0" fontId="5" fillId="0" borderId="2" xfId="0" applyFont="1" applyBorder="1" applyAlignment="1">
      <alignment vertical="center"/>
    </xf>
    <xf numFmtId="0" fontId="5" fillId="0" borderId="2" xfId="0" applyFont="1" applyFill="1" applyBorder="1" applyAlignment="1">
      <alignment vertical="center"/>
    </xf>
    <xf numFmtId="3" fontId="5"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xf>
    <xf numFmtId="1" fontId="0" fillId="0" borderId="2" xfId="0" applyNumberFormat="1" applyFill="1" applyBorder="1" applyAlignment="1">
      <alignment horizontal="center" vertical="center"/>
    </xf>
    <xf numFmtId="0" fontId="5" fillId="0" borderId="2" xfId="0" applyFont="1" applyFill="1" applyBorder="1" applyAlignment="1">
      <alignment horizontal="left" vertical="center"/>
    </xf>
    <xf numFmtId="3" fontId="14" fillId="0" borderId="2" xfId="0" applyNumberFormat="1" applyFont="1" applyFill="1" applyBorder="1" applyAlignment="1">
      <alignment horizontal="center" vertical="center"/>
    </xf>
    <xf numFmtId="3" fontId="14" fillId="0" borderId="2" xfId="0" applyNumberFormat="1" applyFont="1" applyFill="1" applyBorder="1" applyAlignment="1">
      <alignment horizontal="center"/>
    </xf>
    <xf numFmtId="3" fontId="0" fillId="0" borderId="2" xfId="0" applyNumberFormat="1" applyFill="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13" fillId="0" borderId="2" xfId="0" applyFont="1" applyBorder="1" applyAlignment="1">
      <alignment horizontal="center" vertical="center"/>
    </xf>
    <xf numFmtId="14" fontId="13" fillId="0" borderId="0" xfId="0" applyNumberFormat="1" applyFont="1" applyFill="1" applyBorder="1"/>
    <xf numFmtId="0" fontId="13" fillId="0" borderId="0" xfId="0" applyFont="1" applyFill="1" applyBorder="1"/>
    <xf numFmtId="0" fontId="0" fillId="0" borderId="0" xfId="0" applyFill="1"/>
    <xf numFmtId="0" fontId="7" fillId="0" borderId="14" xfId="0" quotePrefix="1" applyFont="1" applyBorder="1" applyAlignment="1">
      <alignment horizontal="left" vertical="center" wrapText="1"/>
    </xf>
    <xf numFmtId="0" fontId="7" fillId="0" borderId="14" xfId="0" applyFont="1" applyBorder="1" applyAlignment="1">
      <alignment horizontal="left" vertical="center" wrapText="1"/>
    </xf>
    <xf numFmtId="3" fontId="7" fillId="0" borderId="14" xfId="0" applyNumberFormat="1" applyFont="1" applyBorder="1" applyAlignment="1">
      <alignment horizontal="center" vertical="center"/>
    </xf>
    <xf numFmtId="0" fontId="7" fillId="0" borderId="17" xfId="0" applyFont="1" applyBorder="1" applyAlignment="1">
      <alignment horizontal="left" vertical="top" wrapText="1"/>
    </xf>
    <xf numFmtId="165" fontId="8" fillId="0" borderId="6" xfId="0" applyNumberFormat="1" applyFont="1" applyBorder="1" applyAlignment="1">
      <alignment horizontal="center" vertical="center"/>
    </xf>
    <xf numFmtId="165" fontId="8"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27" fillId="0" borderId="2" xfId="0" applyFont="1" applyBorder="1"/>
    <xf numFmtId="0" fontId="0" fillId="3" borderId="2" xfId="0" applyFill="1" applyBorder="1"/>
    <xf numFmtId="0" fontId="13" fillId="3" borderId="2" xfId="0" applyFont="1" applyFill="1" applyBorder="1"/>
    <xf numFmtId="0" fontId="27" fillId="0" borderId="2" xfId="0" applyFont="1" applyFill="1" applyBorder="1"/>
    <xf numFmtId="0" fontId="27" fillId="0" borderId="2" xfId="0" applyFont="1" applyFill="1" applyBorder="1" applyAlignment="1">
      <alignment horizontal="center"/>
    </xf>
    <xf numFmtId="0" fontId="13" fillId="3" borderId="2" xfId="0" quotePrefix="1" applyFont="1" applyFill="1" applyBorder="1"/>
    <xf numFmtId="14" fontId="12" fillId="0" borderId="2" xfId="0" quotePrefix="1" applyNumberFormat="1" applyFont="1" applyFill="1" applyBorder="1"/>
    <xf numFmtId="0" fontId="7" fillId="0" borderId="2" xfId="0" applyFont="1" applyFill="1" applyBorder="1"/>
    <xf numFmtId="0" fontId="13" fillId="0" borderId="2" xfId="0" applyFont="1" applyFill="1" applyBorder="1"/>
    <xf numFmtId="14" fontId="7" fillId="0" borderId="2" xfId="0" quotePrefix="1" applyNumberFormat="1" applyFont="1" applyFill="1" applyBorder="1"/>
    <xf numFmtId="0" fontId="16" fillId="0" borderId="0" xfId="0" applyFont="1"/>
    <xf numFmtId="0" fontId="1" fillId="0" borderId="26" xfId="0" applyFont="1" applyBorder="1" applyAlignment="1">
      <alignment horizontal="center" vertical="center"/>
    </xf>
    <xf numFmtId="0" fontId="26" fillId="0" borderId="0" xfId="0" applyFont="1" applyAlignment="1">
      <alignment wrapText="1"/>
    </xf>
    <xf numFmtId="0" fontId="26" fillId="0" borderId="2" xfId="0" applyFont="1" applyBorder="1" applyAlignment="1">
      <alignment horizontal="justify"/>
    </xf>
    <xf numFmtId="0" fontId="26" fillId="0" borderId="0" xfId="0" applyFont="1" applyAlignment="1">
      <alignment horizontal="justify" vertical="top" wrapText="1"/>
    </xf>
    <xf numFmtId="0" fontId="7" fillId="0" borderId="3" xfId="0" applyNumberFormat="1" applyFont="1" applyBorder="1" applyAlignment="1">
      <alignment horizontal="center" vertical="center"/>
    </xf>
    <xf numFmtId="0" fontId="6" fillId="0" borderId="40" xfId="0" applyFont="1" applyBorder="1" applyAlignment="1">
      <alignment vertical="center"/>
    </xf>
    <xf numFmtId="0" fontId="0" fillId="0" borderId="40" xfId="0" applyBorder="1"/>
    <xf numFmtId="0" fontId="8" fillId="0" borderId="2" xfId="0" applyFont="1" applyBorder="1" applyAlignment="1">
      <alignment horizontal="center" vertical="center"/>
    </xf>
    <xf numFmtId="0" fontId="7" fillId="0" borderId="2" xfId="0" applyFont="1" applyBorder="1"/>
    <xf numFmtId="0" fontId="8" fillId="0" borderId="3" xfId="0" applyFont="1" applyBorder="1" applyAlignment="1">
      <alignment horizontal="center" vertical="center"/>
    </xf>
    <xf numFmtId="0" fontId="7" fillId="0" borderId="15" xfId="0" applyFont="1" applyBorder="1" applyAlignment="1">
      <alignment horizontal="center" vertical="center"/>
    </xf>
    <xf numFmtId="0" fontId="6" fillId="0" borderId="25" xfId="0" applyFont="1" applyBorder="1" applyAlignment="1">
      <alignment vertical="center"/>
    </xf>
    <xf numFmtId="0" fontId="0" fillId="0" borderId="25" xfId="0" applyBorder="1"/>
    <xf numFmtId="0" fontId="0" fillId="0" borderId="26" xfId="0" applyBorder="1"/>
    <xf numFmtId="0" fontId="7" fillId="0" borderId="26" xfId="0" applyFont="1" applyBorder="1" applyAlignment="1">
      <alignment horizontal="left" vertical="center" wrapText="1"/>
    </xf>
    <xf numFmtId="3" fontId="3" fillId="0" borderId="26" xfId="0" applyNumberFormat="1" applyFont="1" applyBorder="1" applyAlignment="1">
      <alignment horizontal="center" vertical="center"/>
    </xf>
    <xf numFmtId="0" fontId="3" fillId="0" borderId="26" xfId="0" applyFont="1" applyBorder="1" applyAlignment="1">
      <alignment horizontal="left" vertical="center"/>
    </xf>
    <xf numFmtId="0" fontId="7" fillId="0" borderId="26" xfId="0" applyFont="1" applyBorder="1" applyAlignment="1">
      <alignment horizontal="center" vertical="center"/>
    </xf>
    <xf numFmtId="0" fontId="8" fillId="0" borderId="26" xfId="0" applyFont="1" applyFill="1" applyBorder="1" applyAlignment="1">
      <alignment horizontal="center" vertical="center" wrapText="1"/>
    </xf>
    <xf numFmtId="0" fontId="27" fillId="0" borderId="0" xfId="0" applyFont="1"/>
    <xf numFmtId="0" fontId="29" fillId="0" borderId="4" xfId="0" applyFont="1" applyBorder="1" applyAlignment="1">
      <alignment vertical="center"/>
    </xf>
    <xf numFmtId="0" fontId="29" fillId="0" borderId="5" xfId="0" applyFont="1" applyBorder="1" applyAlignment="1">
      <alignment vertical="center"/>
    </xf>
    <xf numFmtId="0" fontId="29" fillId="0" borderId="3" xfId="0" applyFont="1" applyBorder="1" applyAlignment="1">
      <alignment vertical="center"/>
    </xf>
    <xf numFmtId="0" fontId="29" fillId="0" borderId="2" xfId="0" applyFont="1" applyBorder="1" applyAlignment="1">
      <alignment vertical="center"/>
    </xf>
    <xf numFmtId="0" fontId="13" fillId="4" borderId="25" xfId="0" applyFont="1" applyFill="1" applyBorder="1"/>
    <xf numFmtId="14" fontId="13" fillId="4" borderId="21" xfId="0" applyNumberFormat="1" applyFont="1" applyFill="1" applyBorder="1"/>
    <xf numFmtId="0" fontId="7" fillId="0" borderId="26" xfId="0" applyFont="1" applyFill="1" applyBorder="1" applyAlignment="1">
      <alignment horizontal="left" vertical="top" wrapText="1"/>
    </xf>
    <xf numFmtId="0" fontId="7" fillId="0" borderId="3" xfId="0" applyFont="1" applyBorder="1" applyAlignment="1">
      <alignment vertical="top" wrapText="1"/>
    </xf>
    <xf numFmtId="164" fontId="3" fillId="0" borderId="3" xfId="0" applyNumberFormat="1" applyFont="1" applyBorder="1" applyAlignment="1">
      <alignment horizontal="left" vertical="center"/>
    </xf>
    <xf numFmtId="0" fontId="26" fillId="0" borderId="26" xfId="0" applyFont="1" applyBorder="1" applyAlignment="1">
      <alignment wrapText="1"/>
    </xf>
    <xf numFmtId="0" fontId="8" fillId="0" borderId="26" xfId="0" applyFont="1" applyFill="1" applyBorder="1" applyAlignment="1">
      <alignment horizontal="center" vertical="center" wrapText="1"/>
    </xf>
    <xf numFmtId="165" fontId="8" fillId="0" borderId="6" xfId="0" applyNumberFormat="1" applyFont="1" applyBorder="1" applyAlignment="1">
      <alignment horizontal="center" vertical="center"/>
    </xf>
    <xf numFmtId="165" fontId="8" fillId="0" borderId="4" xfId="0" applyNumberFormat="1" applyFont="1" applyBorder="1" applyAlignment="1">
      <alignment horizontal="center" vertical="center"/>
    </xf>
    <xf numFmtId="0" fontId="1" fillId="0" borderId="13" xfId="0" applyFont="1" applyBorder="1" applyAlignment="1">
      <alignment horizontal="center" vertical="center"/>
    </xf>
    <xf numFmtId="0" fontId="8" fillId="0" borderId="26" xfId="0" applyFont="1" applyFill="1" applyBorder="1" applyAlignment="1">
      <alignment horizontal="center" vertical="center" wrapText="1"/>
    </xf>
    <xf numFmtId="164" fontId="3" fillId="0" borderId="0" xfId="0" applyNumberFormat="1" applyFont="1" applyBorder="1" applyAlignment="1">
      <alignment horizontal="left" vertical="center"/>
    </xf>
    <xf numFmtId="0" fontId="8" fillId="0" borderId="1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7" fillId="0" borderId="15" xfId="0" applyFont="1" applyFill="1" applyBorder="1"/>
    <xf numFmtId="0" fontId="13" fillId="0" borderId="3" xfId="0" applyFont="1" applyFill="1" applyBorder="1"/>
    <xf numFmtId="0" fontId="7" fillId="3" borderId="2" xfId="0" applyFont="1" applyFill="1" applyBorder="1"/>
    <xf numFmtId="14" fontId="13" fillId="3" borderId="2" xfId="0" quotePrefix="1" applyNumberFormat="1" applyFont="1" applyFill="1" applyBorder="1"/>
    <xf numFmtId="0" fontId="7" fillId="0" borderId="2" xfId="0" applyFont="1" applyFill="1" applyBorder="1" applyAlignment="1">
      <alignment horizontal="left"/>
    </xf>
    <xf numFmtId="1" fontId="7" fillId="0" borderId="3" xfId="0" applyNumberFormat="1" applyFont="1" applyFill="1" applyBorder="1" applyAlignment="1">
      <alignment horizontal="center" vertical="center"/>
    </xf>
    <xf numFmtId="14" fontId="13" fillId="3" borderId="2" xfId="0" applyNumberFormat="1" applyFont="1" applyFill="1" applyBorder="1"/>
    <xf numFmtId="0" fontId="8" fillId="3" borderId="2" xfId="0" applyFont="1" applyFill="1" applyBorder="1"/>
    <xf numFmtId="0" fontId="30" fillId="3" borderId="2" xfId="0" applyFont="1" applyFill="1" applyBorder="1"/>
    <xf numFmtId="0" fontId="30" fillId="0" borderId="0" xfId="0" applyFont="1"/>
    <xf numFmtId="14" fontId="13" fillId="0" borderId="2" xfId="0" applyNumberFormat="1" applyFont="1" applyFill="1" applyBorder="1"/>
    <xf numFmtId="0" fontId="8" fillId="0" borderId="2" xfId="0" applyFont="1" applyFill="1" applyBorder="1"/>
    <xf numFmtId="1" fontId="7" fillId="0" borderId="2" xfId="0" applyNumberFormat="1" applyFont="1" applyFill="1" applyBorder="1" applyAlignment="1">
      <alignment horizontal="center" vertical="center"/>
    </xf>
    <xf numFmtId="0" fontId="7" fillId="0" borderId="2" xfId="0" applyFont="1" applyFill="1" applyBorder="1" applyAlignment="1">
      <alignment vertical="top" wrapText="1"/>
    </xf>
    <xf numFmtId="0" fontId="7" fillId="0" borderId="10" xfId="0" applyFont="1" applyFill="1" applyBorder="1" applyAlignment="1">
      <alignment vertical="top" wrapText="1"/>
    </xf>
    <xf numFmtId="0" fontId="8" fillId="0" borderId="26" xfId="0" applyFont="1" applyFill="1" applyBorder="1" applyAlignment="1">
      <alignment horizontal="center" vertical="center" wrapText="1"/>
    </xf>
    <xf numFmtId="0" fontId="12" fillId="0" borderId="0" xfId="0" applyFont="1" applyFill="1"/>
    <xf numFmtId="0" fontId="3" fillId="0" borderId="21" xfId="0" applyFont="1" applyFill="1" applyBorder="1" applyAlignment="1">
      <alignment vertical="center"/>
    </xf>
    <xf numFmtId="0" fontId="3" fillId="0" borderId="22" xfId="0" applyFont="1" applyFill="1" applyBorder="1" applyAlignment="1">
      <alignment vertical="center"/>
    </xf>
    <xf numFmtId="0" fontId="12" fillId="0" borderId="22" xfId="0" applyFont="1" applyFill="1" applyBorder="1"/>
    <xf numFmtId="0" fontId="12" fillId="0" borderId="23" xfId="0" applyFont="1" applyFill="1" applyBorder="1"/>
    <xf numFmtId="0" fontId="3" fillId="0" borderId="10" xfId="0" applyFont="1" applyFill="1" applyBorder="1" applyAlignment="1">
      <alignment vertical="center"/>
    </xf>
    <xf numFmtId="0" fontId="3" fillId="0" borderId="1" xfId="0" applyFont="1" applyFill="1" applyBorder="1" applyAlignment="1">
      <alignment vertical="center"/>
    </xf>
    <xf numFmtId="0" fontId="12" fillId="0" borderId="1" xfId="0" applyFont="1" applyFill="1" applyBorder="1"/>
    <xf numFmtId="0" fontId="12" fillId="0" borderId="24" xfId="0" applyFont="1" applyFill="1" applyBorder="1"/>
    <xf numFmtId="0" fontId="3" fillId="0" borderId="6" xfId="0" applyFont="1" applyFill="1" applyBorder="1" applyAlignment="1">
      <alignment vertical="center"/>
    </xf>
    <xf numFmtId="0" fontId="3" fillId="0" borderId="4" xfId="0" applyFont="1" applyFill="1" applyBorder="1" applyAlignment="1">
      <alignment vertical="center"/>
    </xf>
    <xf numFmtId="0" fontId="12" fillId="0" borderId="4" xfId="0" applyFont="1" applyFill="1" applyBorder="1"/>
    <xf numFmtId="0" fontId="12" fillId="0" borderId="5" xfId="0" applyFont="1" applyFill="1" applyBorder="1"/>
    <xf numFmtId="0" fontId="12" fillId="0" borderId="10" xfId="0" applyFont="1" applyFill="1" applyBorder="1"/>
    <xf numFmtId="0" fontId="12" fillId="0" borderId="0" xfId="0" applyFont="1" applyFill="1" applyBorder="1"/>
    <xf numFmtId="0" fontId="3" fillId="0" borderId="11" xfId="0" quotePrefix="1"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12" fillId="0" borderId="2" xfId="0" applyFont="1" applyFill="1" applyBorder="1"/>
    <xf numFmtId="0" fontId="3" fillId="0" borderId="2" xfId="0" quotePrefix="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quotePrefix="1" applyFont="1" applyFill="1" applyBorder="1" applyAlignment="1">
      <alignment horizontal="left" vertical="center" wrapText="1"/>
    </xf>
    <xf numFmtId="0" fontId="3" fillId="0" borderId="3" xfId="0" applyFont="1" applyFill="1" applyBorder="1" applyAlignment="1">
      <alignment horizontal="center" vertical="center"/>
    </xf>
    <xf numFmtId="0" fontId="12" fillId="0" borderId="25" xfId="0" applyFont="1" applyFill="1" applyBorder="1"/>
    <xf numFmtId="0" fontId="3" fillId="0" borderId="25" xfId="0" quotePrefix="1"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12" fillId="0" borderId="21" xfId="0" applyFont="1" applyFill="1" applyBorder="1"/>
    <xf numFmtId="0" fontId="3" fillId="0" borderId="0" xfId="0" quotePrefix="1" applyFont="1" applyFill="1" applyBorder="1" applyAlignment="1">
      <alignment horizontal="left" vertical="center" wrapText="1"/>
    </xf>
    <xf numFmtId="0" fontId="3" fillId="0" borderId="0" xfId="0" applyFont="1" applyFill="1" applyBorder="1" applyAlignment="1">
      <alignment horizontal="center" vertical="center"/>
    </xf>
    <xf numFmtId="0" fontId="12" fillId="0" borderId="12" xfId="0" applyFont="1" applyFill="1" applyBorder="1"/>
    <xf numFmtId="0" fontId="12" fillId="0" borderId="13" xfId="0" applyFont="1" applyFill="1" applyBorder="1"/>
    <xf numFmtId="0" fontId="12" fillId="0" borderId="42" xfId="0" applyFont="1" applyFill="1" applyBorder="1"/>
    <xf numFmtId="0" fontId="12" fillId="0" borderId="3" xfId="0" applyFont="1" applyFill="1" applyBorder="1"/>
    <xf numFmtId="0" fontId="12" fillId="0" borderId="6" xfId="0" applyFont="1" applyFill="1" applyBorder="1"/>
    <xf numFmtId="0" fontId="0" fillId="0" borderId="10" xfId="0" applyFill="1" applyBorder="1"/>
    <xf numFmtId="0" fontId="0" fillId="0" borderId="1" xfId="0" applyFill="1" applyBorder="1"/>
    <xf numFmtId="0" fontId="0" fillId="0" borderId="24" xfId="0" applyFill="1" applyBorder="1"/>
    <xf numFmtId="0" fontId="0" fillId="0" borderId="6" xfId="0" applyFill="1" applyBorder="1"/>
    <xf numFmtId="0" fontId="0" fillId="0" borderId="4" xfId="0" applyFill="1" applyBorder="1"/>
    <xf numFmtId="0" fontId="0" fillId="0" borderId="5" xfId="0" applyFill="1" applyBorder="1"/>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wrapText="1"/>
    </xf>
    <xf numFmtId="0" fontId="24" fillId="0" borderId="3" xfId="0" applyFont="1" applyFill="1" applyBorder="1" applyAlignment="1">
      <alignment horizontal="left" vertical="top" wrapText="1"/>
    </xf>
    <xf numFmtId="0" fontId="22"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22" fillId="0" borderId="2" xfId="0" applyFont="1" applyFill="1" applyBorder="1" applyAlignment="1">
      <alignment horizontal="left" vertical="top" wrapText="1"/>
    </xf>
    <xf numFmtId="0" fontId="6" fillId="0" borderId="10" xfId="0" applyFont="1" applyFill="1" applyBorder="1" applyAlignment="1">
      <alignment vertical="center"/>
    </xf>
    <xf numFmtId="0" fontId="3" fillId="0" borderId="10" xfId="0" applyFont="1" applyFill="1" applyBorder="1" applyAlignment="1">
      <alignment horizontal="left" vertical="center"/>
    </xf>
    <xf numFmtId="0" fontId="0" fillId="0" borderId="25" xfId="0" applyFill="1" applyBorder="1"/>
    <xf numFmtId="0" fontId="0" fillId="0" borderId="26" xfId="0" applyFill="1" applyBorder="1"/>
    <xf numFmtId="0" fontId="0" fillId="0" borderId="37" xfId="0" applyFill="1" applyBorder="1"/>
    <xf numFmtId="0" fontId="0" fillId="0" borderId="16" xfId="0" applyFill="1" applyBorder="1"/>
    <xf numFmtId="0" fontId="0" fillId="0" borderId="38" xfId="0" applyFill="1" applyBorder="1"/>
    <xf numFmtId="0" fontId="3" fillId="0" borderId="15"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center"/>
    </xf>
    <xf numFmtId="0" fontId="7" fillId="0" borderId="0" xfId="0" applyFont="1" applyFill="1" applyBorder="1" applyAlignment="1">
      <alignment horizontal="left" vertical="top" wrapText="1"/>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11" xfId="0" applyFont="1" applyFill="1" applyBorder="1" applyAlignment="1">
      <alignment horizontal="center" vertical="center"/>
    </xf>
    <xf numFmtId="0" fontId="1" fillId="0" borderId="24" xfId="0" applyFont="1" applyFill="1" applyBorder="1" applyAlignment="1">
      <alignment horizontal="left" vertical="center"/>
    </xf>
    <xf numFmtId="0" fontId="12" fillId="0" borderId="40" xfId="0" applyFont="1" applyFill="1" applyBorder="1"/>
    <xf numFmtId="2" fontId="3"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12" fillId="0" borderId="26" xfId="0" applyFont="1" applyFill="1" applyBorder="1"/>
    <xf numFmtId="0" fontId="12" fillId="0" borderId="36" xfId="0" applyFont="1" applyFill="1" applyBorder="1"/>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27" fillId="0" borderId="2" xfId="0" applyFont="1" applyFill="1" applyBorder="1" applyAlignment="1">
      <alignment vertical="top"/>
    </xf>
    <xf numFmtId="0" fontId="1" fillId="0" borderId="29" xfId="0" applyFont="1" applyFill="1" applyBorder="1" applyAlignment="1">
      <alignment horizontal="left" vertical="center"/>
    </xf>
    <xf numFmtId="0" fontId="0" fillId="0" borderId="0" xfId="0" applyFill="1" applyBorder="1" applyAlignment="1">
      <alignment vertical="center"/>
    </xf>
    <xf numFmtId="0" fontId="3" fillId="0" borderId="11" xfId="0" applyFont="1" applyFill="1" applyBorder="1" applyAlignment="1">
      <alignment vertical="center" wrapText="1"/>
    </xf>
    <xf numFmtId="0" fontId="6" fillId="0" borderId="0" xfId="0" applyFont="1" applyFill="1" applyBorder="1" applyAlignment="1">
      <alignment vertical="center"/>
    </xf>
    <xf numFmtId="0" fontId="3" fillId="0" borderId="14" xfId="0" applyFont="1" applyFill="1" applyBorder="1" applyAlignment="1">
      <alignment vertical="center" wrapText="1"/>
    </xf>
    <xf numFmtId="0" fontId="3" fillId="0" borderId="43" xfId="0" applyFont="1" applyFill="1" applyBorder="1" applyAlignment="1">
      <alignment vertical="center" wrapText="1"/>
    </xf>
    <xf numFmtId="0" fontId="3" fillId="0" borderId="3" xfId="0" applyFont="1" applyFill="1" applyBorder="1" applyAlignment="1">
      <alignment vertical="center" wrapText="1"/>
    </xf>
    <xf numFmtId="0" fontId="1" fillId="0" borderId="0" xfId="0" applyFont="1" applyFill="1" applyBorder="1" applyAlignment="1">
      <alignment horizontal="left" vertical="center"/>
    </xf>
    <xf numFmtId="0" fontId="28" fillId="0" borderId="0" xfId="0" applyFont="1" applyAlignment="1">
      <alignment horizontal="center"/>
    </xf>
    <xf numFmtId="0" fontId="0" fillId="0" borderId="0" xfId="0" applyAlignment="1">
      <alignment horizontal="center"/>
    </xf>
    <xf numFmtId="0" fontId="1" fillId="0" borderId="2" xfId="0" applyFont="1" applyBorder="1" applyAlignment="1">
      <alignment horizontal="left"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8" fillId="0" borderId="2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 fillId="0" borderId="3" xfId="0" applyFont="1" applyBorder="1" applyAlignment="1">
      <alignment horizontal="lef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quotePrefix="1" applyFont="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quotePrefix="1" applyFont="1" applyBorder="1" applyAlignment="1">
      <alignment horizontal="center" vertical="center"/>
    </xf>
    <xf numFmtId="0" fontId="1" fillId="0" borderId="5" xfId="0" quotePrefix="1" applyFont="1" applyBorder="1" applyAlignment="1">
      <alignment horizontal="center" vertical="center"/>
    </xf>
    <xf numFmtId="0" fontId="1" fillId="0" borderId="6" xfId="0" applyFont="1" applyBorder="1" applyAlignment="1">
      <alignment horizontal="left" vertical="center"/>
    </xf>
    <xf numFmtId="0" fontId="1" fillId="0" borderId="4" xfId="0" quotePrefix="1" applyFont="1" applyBorder="1" applyAlignment="1">
      <alignment horizontal="left" vertical="center"/>
    </xf>
    <xf numFmtId="0" fontId="1" fillId="0" borderId="5" xfId="0" quotePrefix="1" applyFont="1" applyBorder="1" applyAlignment="1">
      <alignment horizontal="left" vertical="center"/>
    </xf>
    <xf numFmtId="0" fontId="1" fillId="0" borderId="15" xfId="0" applyFont="1" applyBorder="1" applyAlignment="1">
      <alignment horizontal="left" vertical="center"/>
    </xf>
    <xf numFmtId="0" fontId="1" fillId="0" borderId="11" xfId="0" applyFont="1" applyBorder="1" applyAlignment="1">
      <alignment horizontal="left" vertical="center"/>
    </xf>
    <xf numFmtId="0" fontId="1" fillId="0" borderId="33"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165" fontId="8" fillId="0" borderId="6" xfId="0" applyNumberFormat="1" applyFont="1" applyBorder="1" applyAlignment="1">
      <alignment horizontal="center" vertical="center"/>
    </xf>
    <xf numFmtId="165" fontId="8" fillId="0" borderId="4" xfId="0" applyNumberFormat="1" applyFont="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12" fillId="0" borderId="4" xfId="0" applyFont="1" applyBorder="1" applyAlignment="1">
      <alignment horizontal="center" vertical="center"/>
    </xf>
    <xf numFmtId="0" fontId="1" fillId="0" borderId="19" xfId="0" applyFont="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6" xfId="0" quotePrefix="1" applyFont="1" applyFill="1" applyBorder="1" applyAlignment="1">
      <alignment horizontal="center" vertical="center" wrapText="1"/>
    </xf>
    <xf numFmtId="0" fontId="1" fillId="0" borderId="4" xfId="0" quotePrefix="1"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3" fillId="0" borderId="15" xfId="0" quotePrefix="1" applyFont="1" applyFill="1" applyBorder="1" applyAlignment="1">
      <alignment horizontal="left" vertical="center" wrapText="1"/>
    </xf>
    <xf numFmtId="0" fontId="3" fillId="0" borderId="17" xfId="0" quotePrefix="1" applyFont="1" applyFill="1" applyBorder="1" applyAlignment="1">
      <alignment horizontal="left" vertical="center" wrapText="1"/>
    </xf>
    <xf numFmtId="0" fontId="1" fillId="0" borderId="12" xfId="0" quotePrefix="1" applyFont="1" applyFill="1" applyBorder="1" applyAlignment="1">
      <alignment horizontal="center" vertical="center" wrapText="1"/>
    </xf>
    <xf numFmtId="0" fontId="1" fillId="0" borderId="13" xfId="0" quotePrefix="1" applyFont="1" applyFill="1" applyBorder="1" applyAlignment="1">
      <alignment horizontal="center" vertical="center" wrapText="1"/>
    </xf>
    <xf numFmtId="0" fontId="1" fillId="0" borderId="42" xfId="0" quotePrefix="1"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15" xfId="0" applyFont="1" applyFill="1" applyBorder="1" applyAlignment="1">
      <alignment horizontal="left" vertical="center"/>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4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0" borderId="9" xfId="0" applyFont="1" applyBorder="1" applyAlignment="1">
      <alignment horizontal="left"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7" fillId="0" borderId="4" xfId="0" applyFont="1" applyFill="1" applyBorder="1" applyAlignment="1">
      <alignment horizontal="left"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4"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32" xfId="0" applyFont="1" applyFill="1" applyBorder="1" applyAlignment="1">
      <alignment horizontal="left"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13" fontId="1" fillId="0" borderId="6" xfId="0" applyNumberFormat="1" applyFont="1" applyBorder="1" applyAlignment="1">
      <alignment horizontal="center" vertical="center"/>
    </xf>
    <xf numFmtId="13" fontId="1" fillId="0" borderId="4" xfId="0" applyNumberFormat="1" applyFont="1" applyBorder="1" applyAlignment="1">
      <alignment horizontal="center" vertical="center"/>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4"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27" fillId="0" borderId="11" xfId="0" applyFont="1" applyFill="1" applyBorder="1" applyAlignment="1">
      <alignment horizontal="center"/>
    </xf>
    <xf numFmtId="0" fontId="27" fillId="0" borderId="3" xfId="0" applyFont="1" applyFill="1" applyBorder="1" applyAlignment="1">
      <alignment horizont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27" fillId="0" borderId="11" xfId="0" applyFont="1" applyFill="1" applyBorder="1" applyAlignment="1">
      <alignment horizontal="left" vertical="top" wrapText="1"/>
    </xf>
    <xf numFmtId="0" fontId="27" fillId="0" borderId="3" xfId="0" applyFont="1" applyFill="1" applyBorder="1" applyAlignment="1">
      <alignment horizontal="left" vertical="top"/>
    </xf>
    <xf numFmtId="0" fontId="0" fillId="0" borderId="11" xfId="0" applyFill="1" applyBorder="1" applyAlignment="1">
      <alignment horizontal="center"/>
    </xf>
    <xf numFmtId="0" fontId="0" fillId="0" borderId="3" xfId="0" applyFill="1" applyBorder="1" applyAlignment="1">
      <alignment horizontal="center"/>
    </xf>
    <xf numFmtId="0" fontId="8" fillId="0" borderId="6"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left"/>
    </xf>
    <xf numFmtId="0" fontId="30"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vertical="center"/>
    </xf>
    <xf numFmtId="0" fontId="0" fillId="0" borderId="0" xfId="0" applyAlignment="1">
      <alignment horizontal="justify" vertical="center"/>
    </xf>
    <xf numFmtId="0" fontId="0" fillId="0" borderId="0" xfId="0" applyAlignment="1">
      <alignment wrapText="1"/>
    </xf>
    <xf numFmtId="0" fontId="0" fillId="0" borderId="0" xfId="0" applyAlignment="1">
      <alignment horizontal="right"/>
    </xf>
  </cellXfs>
  <cellStyles count="2">
    <cellStyle name="Normál" xfId="0" builtinId="0"/>
    <cellStyle name="Semleges" xfId="1" builtin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heetViews>
  <sheetFormatPr defaultRowHeight="15" x14ac:dyDescent="0.25"/>
  <cols>
    <col min="1" max="1" width="109.42578125" customWidth="1"/>
  </cols>
  <sheetData>
    <row r="1" spans="1:1" s="8" customFormat="1" x14ac:dyDescent="0.25">
      <c r="A1" s="480" t="s">
        <v>1000</v>
      </c>
    </row>
    <row r="2" spans="1:1" s="8" customFormat="1" x14ac:dyDescent="0.25"/>
    <row r="3" spans="1:1" s="8" customFormat="1" x14ac:dyDescent="0.25"/>
    <row r="4" spans="1:1" ht="19.5" customHeight="1" x14ac:dyDescent="0.25">
      <c r="A4" s="475" t="s">
        <v>996</v>
      </c>
    </row>
    <row r="5" spans="1:1" ht="24.75" customHeight="1" x14ac:dyDescent="0.25">
      <c r="A5" s="476" t="s">
        <v>997</v>
      </c>
    </row>
    <row r="6" spans="1:1" ht="24" customHeight="1" x14ac:dyDescent="0.25">
      <c r="A6" s="477"/>
    </row>
    <row r="7" spans="1:1" ht="47.25" customHeight="1" x14ac:dyDescent="0.25">
      <c r="A7" s="478" t="s">
        <v>998</v>
      </c>
    </row>
    <row r="8" spans="1:1" ht="50.25" customHeight="1" x14ac:dyDescent="0.25">
      <c r="A8" s="479" t="s">
        <v>999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E20" sqref="E20"/>
    </sheetView>
  </sheetViews>
  <sheetFormatPr defaultColWidth="9.140625" defaultRowHeight="15.75" x14ac:dyDescent="0.25"/>
  <cols>
    <col min="1" max="1" width="6" style="93" customWidth="1"/>
    <col min="2" max="2" width="60.7109375" style="93" customWidth="1"/>
    <col min="3" max="3" width="10.7109375" style="93" customWidth="1"/>
    <col min="4" max="4" width="6.7109375" style="93" customWidth="1"/>
    <col min="5" max="8" width="8.7109375" style="93" customWidth="1"/>
    <col min="9" max="9" width="10.42578125" style="93" customWidth="1"/>
    <col min="10" max="10" width="26.85546875" style="93" customWidth="1"/>
    <col min="11" max="16384" width="9.140625" style="93"/>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x14ac:dyDescent="0.25">
      <c r="A3" s="376" t="s">
        <v>329</v>
      </c>
      <c r="B3" s="376"/>
      <c r="C3" s="376"/>
      <c r="D3" s="376"/>
      <c r="E3" s="94"/>
      <c r="F3" s="94"/>
      <c r="G3" s="94"/>
      <c r="H3" s="94"/>
      <c r="I3" s="94"/>
    </row>
    <row r="4" spans="1:10" ht="16.5" thickBot="1" x14ac:dyDescent="0.3">
      <c r="A4" s="365" t="s">
        <v>330</v>
      </c>
      <c r="B4" s="365"/>
      <c r="C4" s="365"/>
      <c r="D4" s="410"/>
      <c r="E4" s="176"/>
      <c r="F4" s="177"/>
      <c r="G4" s="177"/>
      <c r="H4" s="177"/>
      <c r="I4" s="178"/>
    </row>
    <row r="5" spans="1:10" ht="16.5" thickBot="1" x14ac:dyDescent="0.3">
      <c r="A5" s="392" t="s">
        <v>331</v>
      </c>
      <c r="B5" s="393"/>
      <c r="C5" s="393"/>
      <c r="D5" s="394"/>
      <c r="E5" s="140"/>
      <c r="F5" s="141"/>
      <c r="G5" s="141"/>
      <c r="H5" s="141"/>
      <c r="I5" s="142"/>
    </row>
    <row r="6" spans="1:10" s="219" customFormat="1" ht="78.75" x14ac:dyDescent="0.25">
      <c r="A6" s="229">
        <v>1</v>
      </c>
      <c r="B6" s="78" t="s">
        <v>805</v>
      </c>
      <c r="C6" s="95">
        <v>70000</v>
      </c>
      <c r="D6" s="230" t="s">
        <v>114</v>
      </c>
      <c r="E6" s="228"/>
      <c r="F6" s="228"/>
      <c r="G6" s="228"/>
      <c r="H6" s="228"/>
      <c r="I6" s="228"/>
    </row>
    <row r="7" spans="1:10" ht="47.25" x14ac:dyDescent="0.25">
      <c r="A7" s="3">
        <f>A6+1</f>
        <v>2</v>
      </c>
      <c r="B7" s="45" t="s">
        <v>806</v>
      </c>
      <c r="C7" s="75">
        <v>18000</v>
      </c>
      <c r="D7" s="126" t="s">
        <v>114</v>
      </c>
      <c r="E7" s="128"/>
      <c r="F7" s="128"/>
      <c r="G7" s="128"/>
      <c r="H7" s="128"/>
      <c r="I7" s="128"/>
      <c r="J7" s="157"/>
    </row>
    <row r="8" spans="1:10" ht="47.25" x14ac:dyDescent="0.25">
      <c r="A8" s="3">
        <f t="shared" ref="A8:A16" si="0">A7+1</f>
        <v>3</v>
      </c>
      <c r="B8" s="45" t="s">
        <v>557</v>
      </c>
      <c r="C8" s="75">
        <v>84300</v>
      </c>
      <c r="D8" s="64" t="s">
        <v>558</v>
      </c>
      <c r="E8" s="128"/>
      <c r="F8" s="128"/>
      <c r="G8" s="128"/>
      <c r="H8" s="128"/>
      <c r="I8" s="128"/>
    </row>
    <row r="9" spans="1:10" ht="47.25" x14ac:dyDescent="0.25">
      <c r="A9" s="3">
        <f t="shared" si="0"/>
        <v>4</v>
      </c>
      <c r="B9" s="45" t="s">
        <v>559</v>
      </c>
      <c r="C9" s="75">
        <v>124200</v>
      </c>
      <c r="D9" s="64" t="s">
        <v>114</v>
      </c>
      <c r="E9" s="128"/>
      <c r="F9" s="128"/>
      <c r="G9" s="128"/>
      <c r="H9" s="128"/>
      <c r="I9" s="128"/>
    </row>
    <row r="10" spans="1:10" ht="51.75" customHeight="1" x14ac:dyDescent="0.25">
      <c r="A10" s="3">
        <f t="shared" si="0"/>
        <v>5</v>
      </c>
      <c r="B10" s="45" t="s">
        <v>560</v>
      </c>
      <c r="C10" s="75">
        <v>62200</v>
      </c>
      <c r="D10" s="64" t="s">
        <v>558</v>
      </c>
      <c r="E10" s="128"/>
      <c r="F10" s="128"/>
      <c r="G10" s="128"/>
      <c r="H10" s="128"/>
      <c r="I10" s="128"/>
    </row>
    <row r="11" spans="1:10" ht="63" x14ac:dyDescent="0.25">
      <c r="A11" s="3">
        <f t="shared" si="0"/>
        <v>6</v>
      </c>
      <c r="B11" s="45" t="s">
        <v>561</v>
      </c>
      <c r="C11" s="75">
        <v>83200</v>
      </c>
      <c r="D11" s="64" t="s">
        <v>558</v>
      </c>
      <c r="E11" s="128"/>
      <c r="F11" s="128"/>
      <c r="G11" s="128"/>
      <c r="H11" s="128"/>
      <c r="I11" s="128"/>
    </row>
    <row r="12" spans="1:10" ht="31.5" x14ac:dyDescent="0.25">
      <c r="A12" s="3">
        <f t="shared" si="0"/>
        <v>7</v>
      </c>
      <c r="B12" s="45" t="s">
        <v>807</v>
      </c>
      <c r="C12" s="75">
        <v>23000</v>
      </c>
      <c r="D12" s="64" t="s">
        <v>558</v>
      </c>
      <c r="E12" s="128"/>
      <c r="F12" s="128"/>
      <c r="G12" s="128"/>
      <c r="H12" s="128"/>
      <c r="I12" s="128"/>
    </row>
    <row r="13" spans="1:10" ht="51.75" customHeight="1" x14ac:dyDescent="0.25">
      <c r="A13" s="3">
        <f t="shared" si="0"/>
        <v>8</v>
      </c>
      <c r="B13" s="45" t="s">
        <v>562</v>
      </c>
      <c r="C13" s="75">
        <v>547000</v>
      </c>
      <c r="D13" s="64" t="s">
        <v>558</v>
      </c>
      <c r="E13" s="128"/>
      <c r="F13" s="128"/>
      <c r="G13" s="128"/>
      <c r="H13" s="128"/>
      <c r="I13" s="128"/>
    </row>
    <row r="14" spans="1:10" ht="47.25" x14ac:dyDescent="0.25">
      <c r="A14" s="5">
        <f t="shared" si="0"/>
        <v>9</v>
      </c>
      <c r="B14" s="45" t="s">
        <v>769</v>
      </c>
      <c r="C14" s="75">
        <v>100000</v>
      </c>
      <c r="D14" s="64" t="s">
        <v>558</v>
      </c>
      <c r="E14" s="128"/>
      <c r="F14" s="128"/>
      <c r="G14" s="128"/>
      <c r="H14" s="128"/>
      <c r="I14" s="128"/>
    </row>
    <row r="15" spans="1:10" ht="31.5" x14ac:dyDescent="0.25">
      <c r="A15" s="5">
        <f t="shared" si="0"/>
        <v>10</v>
      </c>
      <c r="B15" s="45" t="s">
        <v>563</v>
      </c>
      <c r="C15" s="75">
        <v>28300</v>
      </c>
      <c r="D15" s="64" t="s">
        <v>114</v>
      </c>
      <c r="E15" s="128"/>
      <c r="F15" s="128"/>
      <c r="G15" s="128"/>
      <c r="H15" s="128"/>
      <c r="I15" s="128"/>
    </row>
    <row r="16" spans="1:10" ht="32.25" thickBot="1" x14ac:dyDescent="0.3">
      <c r="A16" s="220">
        <f t="shared" si="0"/>
        <v>11</v>
      </c>
      <c r="B16" s="45" t="s">
        <v>770</v>
      </c>
      <c r="C16" s="75">
        <v>29300</v>
      </c>
      <c r="D16" s="64" t="s">
        <v>558</v>
      </c>
      <c r="E16" s="128"/>
      <c r="F16" s="128"/>
      <c r="G16" s="128"/>
      <c r="H16" s="128"/>
      <c r="I16" s="128"/>
    </row>
    <row r="17" spans="1:9" ht="32.25" customHeight="1" thickBot="1" x14ac:dyDescent="0.3">
      <c r="A17" s="381" t="s">
        <v>332</v>
      </c>
      <c r="B17" s="382"/>
      <c r="C17" s="382"/>
      <c r="D17" s="383"/>
      <c r="E17" s="140"/>
      <c r="F17" s="141"/>
      <c r="G17" s="141"/>
      <c r="H17" s="141"/>
      <c r="I17" s="142"/>
    </row>
    <row r="18" spans="1:9" ht="31.5" x14ac:dyDescent="0.25">
      <c r="A18" s="3">
        <v>1</v>
      </c>
      <c r="B18" s="72" t="s">
        <v>564</v>
      </c>
      <c r="C18" s="73">
        <v>29300</v>
      </c>
      <c r="D18" s="74" t="s">
        <v>558</v>
      </c>
      <c r="E18" s="131"/>
      <c r="F18" s="131"/>
      <c r="G18" s="131"/>
      <c r="H18" s="131"/>
      <c r="I18" s="131"/>
    </row>
    <row r="19" spans="1:9" ht="31.5" x14ac:dyDescent="0.25">
      <c r="A19" s="3">
        <f>A18+1</f>
        <v>2</v>
      </c>
      <c r="B19" s="45" t="s">
        <v>565</v>
      </c>
      <c r="C19" s="75">
        <v>60000</v>
      </c>
      <c r="D19" s="64" t="s">
        <v>558</v>
      </c>
      <c r="E19" s="128"/>
      <c r="F19" s="128"/>
      <c r="G19" s="128"/>
      <c r="H19" s="128"/>
      <c r="I19" s="128"/>
    </row>
    <row r="20" spans="1:9" ht="31.5" x14ac:dyDescent="0.25">
      <c r="A20" s="3">
        <f t="shared" ref="A20:A30" si="1">A19+1</f>
        <v>3</v>
      </c>
      <c r="B20" s="76" t="s">
        <v>566</v>
      </c>
      <c r="C20" s="75">
        <v>4700</v>
      </c>
      <c r="D20" s="64" t="s">
        <v>114</v>
      </c>
      <c r="E20" s="128"/>
      <c r="F20" s="128"/>
      <c r="G20" s="128"/>
      <c r="H20" s="128"/>
      <c r="I20" s="128"/>
    </row>
    <row r="21" spans="1:9" ht="31.5" x14ac:dyDescent="0.25">
      <c r="A21" s="3">
        <f t="shared" si="1"/>
        <v>4</v>
      </c>
      <c r="B21" s="45" t="s">
        <v>567</v>
      </c>
      <c r="C21" s="75">
        <v>15800</v>
      </c>
      <c r="D21" s="64" t="s">
        <v>558</v>
      </c>
      <c r="E21" s="128"/>
      <c r="F21" s="128"/>
      <c r="G21" s="128"/>
      <c r="H21" s="128"/>
      <c r="I21" s="128"/>
    </row>
    <row r="22" spans="1:9" ht="31.5" x14ac:dyDescent="0.25">
      <c r="A22" s="3">
        <f t="shared" si="1"/>
        <v>5</v>
      </c>
      <c r="B22" s="45" t="s">
        <v>568</v>
      </c>
      <c r="C22" s="75">
        <v>268100</v>
      </c>
      <c r="D22" s="64" t="s">
        <v>558</v>
      </c>
      <c r="E22" s="128"/>
      <c r="F22" s="128"/>
      <c r="G22" s="128"/>
      <c r="H22" s="128"/>
      <c r="I22" s="128"/>
    </row>
    <row r="23" spans="1:9" ht="31.5" x14ac:dyDescent="0.25">
      <c r="A23" s="5">
        <f t="shared" si="1"/>
        <v>6</v>
      </c>
      <c r="B23" s="45" t="s">
        <v>569</v>
      </c>
      <c r="C23" s="75">
        <v>346900</v>
      </c>
      <c r="D23" s="64" t="s">
        <v>558</v>
      </c>
      <c r="E23" s="128"/>
      <c r="F23" s="128"/>
      <c r="G23" s="128"/>
      <c r="H23" s="128"/>
      <c r="I23" s="128"/>
    </row>
    <row r="24" spans="1:9" ht="47.25" x14ac:dyDescent="0.25">
      <c r="A24" s="3">
        <f t="shared" si="1"/>
        <v>7</v>
      </c>
      <c r="B24" s="45" t="s">
        <v>570</v>
      </c>
      <c r="C24" s="75">
        <v>83200</v>
      </c>
      <c r="D24" s="64" t="s">
        <v>558</v>
      </c>
      <c r="E24" s="128"/>
      <c r="F24" s="128"/>
      <c r="G24" s="128"/>
      <c r="H24" s="128"/>
      <c r="I24" s="128"/>
    </row>
    <row r="25" spans="1:9" ht="34.5" x14ac:dyDescent="0.25">
      <c r="A25" s="3">
        <f t="shared" si="1"/>
        <v>8</v>
      </c>
      <c r="B25" s="45" t="s">
        <v>571</v>
      </c>
      <c r="C25" s="75">
        <v>98100</v>
      </c>
      <c r="D25" s="64" t="s">
        <v>114</v>
      </c>
      <c r="E25" s="128"/>
      <c r="F25" s="128"/>
      <c r="G25" s="128"/>
      <c r="H25" s="128"/>
      <c r="I25" s="128"/>
    </row>
    <row r="26" spans="1:9" ht="31.5" x14ac:dyDescent="0.25">
      <c r="A26" s="3">
        <f t="shared" si="1"/>
        <v>9</v>
      </c>
      <c r="B26" s="45" t="s">
        <v>572</v>
      </c>
      <c r="C26" s="75">
        <v>92900</v>
      </c>
      <c r="D26" s="64" t="s">
        <v>114</v>
      </c>
      <c r="E26" s="128"/>
      <c r="F26" s="128"/>
      <c r="G26" s="128"/>
      <c r="H26" s="128"/>
      <c r="I26" s="128"/>
    </row>
    <row r="27" spans="1:9" ht="34.5" x14ac:dyDescent="0.25">
      <c r="A27" s="3">
        <f t="shared" si="1"/>
        <v>10</v>
      </c>
      <c r="B27" s="76" t="s">
        <v>573</v>
      </c>
      <c r="C27" s="75">
        <v>585</v>
      </c>
      <c r="D27" s="64" t="s">
        <v>168</v>
      </c>
      <c r="E27" s="128"/>
      <c r="F27" s="128"/>
      <c r="G27" s="128"/>
      <c r="H27" s="128"/>
      <c r="I27" s="128"/>
    </row>
    <row r="28" spans="1:9" ht="47.25" x14ac:dyDescent="0.25">
      <c r="A28" s="5">
        <f t="shared" si="1"/>
        <v>11</v>
      </c>
      <c r="B28" s="45" t="s">
        <v>574</v>
      </c>
      <c r="C28" s="75">
        <v>13800</v>
      </c>
      <c r="D28" s="64" t="s">
        <v>558</v>
      </c>
      <c r="E28" s="128"/>
      <c r="F28" s="128"/>
      <c r="G28" s="128"/>
      <c r="H28" s="128"/>
      <c r="I28" s="128"/>
    </row>
    <row r="29" spans="1:9" s="219" customFormat="1" ht="31.5" x14ac:dyDescent="0.25">
      <c r="A29" s="227">
        <f t="shared" si="1"/>
        <v>12</v>
      </c>
      <c r="B29" s="45" t="s">
        <v>789</v>
      </c>
      <c r="C29" s="64">
        <v>8800</v>
      </c>
      <c r="D29" s="64" t="s">
        <v>558</v>
      </c>
      <c r="E29" s="228"/>
      <c r="F29" s="228"/>
      <c r="G29" s="228"/>
      <c r="H29" s="228"/>
      <c r="I29" s="228"/>
    </row>
    <row r="30" spans="1:9" ht="18.75" x14ac:dyDescent="0.25">
      <c r="A30" s="5">
        <f t="shared" si="1"/>
        <v>13</v>
      </c>
      <c r="B30" s="45" t="s">
        <v>771</v>
      </c>
      <c r="C30" s="75">
        <v>90400</v>
      </c>
      <c r="D30" s="64" t="s">
        <v>114</v>
      </c>
      <c r="E30" s="128"/>
      <c r="F30" s="128"/>
      <c r="G30" s="128"/>
      <c r="H30" s="128"/>
      <c r="I30" s="128"/>
    </row>
  </sheetData>
  <mergeCells count="10">
    <mergeCell ref="E1:F1"/>
    <mergeCell ref="G1:I1"/>
    <mergeCell ref="A17:D17"/>
    <mergeCell ref="A3:D3"/>
    <mergeCell ref="A4:D4"/>
    <mergeCell ref="A5:D5"/>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2.1. Nagytömegű földmunkák, töltésépítés&amp;R&amp;"Times New Roman,Normál"&amp;9Mennyiségi kiírás (IV. kötet)</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30" zoomScaleNormal="130" workbookViewId="0">
      <selection activeCell="B12" sqref="B12"/>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 style="8"/>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6.5" thickBot="1" x14ac:dyDescent="0.3">
      <c r="A3" s="411" t="s">
        <v>329</v>
      </c>
      <c r="B3" s="411"/>
      <c r="C3" s="411"/>
      <c r="D3" s="411"/>
      <c r="E3" s="2"/>
      <c r="F3" s="2"/>
      <c r="G3" s="2"/>
      <c r="H3" s="2"/>
      <c r="I3" s="2"/>
    </row>
    <row r="4" spans="1:10" ht="16.5" thickBot="1" x14ac:dyDescent="0.3">
      <c r="A4" s="392" t="s">
        <v>520</v>
      </c>
      <c r="B4" s="393"/>
      <c r="C4" s="393"/>
      <c r="D4" s="394"/>
      <c r="E4" s="133"/>
      <c r="F4" s="113"/>
      <c r="G4" s="113"/>
      <c r="H4" s="113"/>
      <c r="I4" s="114"/>
    </row>
    <row r="5" spans="1:10" ht="47.25" x14ac:dyDescent="0.25">
      <c r="A5" s="3">
        <v>1</v>
      </c>
      <c r="B5" s="4" t="s">
        <v>252</v>
      </c>
      <c r="C5" s="47">
        <v>30</v>
      </c>
      <c r="D5" s="120" t="s">
        <v>2</v>
      </c>
      <c r="E5" s="132"/>
      <c r="F5" s="132"/>
      <c r="G5" s="132"/>
      <c r="H5" s="132"/>
      <c r="I5" s="132"/>
    </row>
    <row r="6" spans="1:10" ht="31.5" x14ac:dyDescent="0.25">
      <c r="A6" s="3">
        <f>A5+1</f>
        <v>2</v>
      </c>
      <c r="B6" s="4" t="s">
        <v>253</v>
      </c>
      <c r="C6" s="50">
        <v>140</v>
      </c>
      <c r="D6" s="120" t="s">
        <v>7</v>
      </c>
      <c r="E6" s="117"/>
      <c r="F6" s="117"/>
      <c r="G6" s="117"/>
      <c r="H6" s="117"/>
      <c r="I6" s="117"/>
    </row>
    <row r="7" spans="1:10" ht="47.25" x14ac:dyDescent="0.25">
      <c r="A7" s="3">
        <f t="shared" ref="A7:A14" si="0">A6+1</f>
        <v>3</v>
      </c>
      <c r="B7" s="4" t="s">
        <v>254</v>
      </c>
      <c r="C7" s="50">
        <v>50</v>
      </c>
      <c r="D7" s="120" t="s">
        <v>168</v>
      </c>
      <c r="E7" s="117"/>
      <c r="F7" s="117"/>
      <c r="G7" s="117"/>
      <c r="H7" s="117"/>
      <c r="I7" s="117"/>
    </row>
    <row r="8" spans="1:10" ht="63" x14ac:dyDescent="0.25">
      <c r="A8" s="3">
        <f t="shared" si="0"/>
        <v>4</v>
      </c>
      <c r="B8" s="52" t="s">
        <v>261</v>
      </c>
      <c r="C8" s="50">
        <v>70</v>
      </c>
      <c r="D8" s="119" t="s">
        <v>2</v>
      </c>
      <c r="E8" s="117"/>
      <c r="F8" s="117"/>
      <c r="G8" s="117"/>
      <c r="H8" s="117"/>
      <c r="I8" s="117"/>
      <c r="J8" s="166"/>
    </row>
    <row r="9" spans="1:10" ht="97.5" customHeight="1" x14ac:dyDescent="0.25">
      <c r="A9" s="3">
        <f t="shared" si="0"/>
        <v>5</v>
      </c>
      <c r="B9" s="4" t="s">
        <v>255</v>
      </c>
      <c r="C9" s="50">
        <v>115</v>
      </c>
      <c r="D9" s="47" t="s">
        <v>168</v>
      </c>
      <c r="E9" s="117"/>
      <c r="F9" s="117"/>
      <c r="G9" s="117"/>
      <c r="H9" s="117"/>
      <c r="I9" s="117"/>
    </row>
    <row r="10" spans="1:10" ht="47.25" x14ac:dyDescent="0.25">
      <c r="A10" s="3">
        <f t="shared" si="0"/>
        <v>6</v>
      </c>
      <c r="B10" s="4" t="s">
        <v>256</v>
      </c>
      <c r="C10" s="50">
        <v>350</v>
      </c>
      <c r="D10" s="47" t="s">
        <v>7</v>
      </c>
      <c r="E10" s="117"/>
      <c r="F10" s="117"/>
      <c r="G10" s="117"/>
      <c r="H10" s="117"/>
      <c r="I10" s="117"/>
    </row>
    <row r="11" spans="1:10" ht="15.75" customHeight="1" x14ac:dyDescent="0.25">
      <c r="A11" s="3">
        <f t="shared" si="0"/>
        <v>7</v>
      </c>
      <c r="B11" s="4" t="s">
        <v>257</v>
      </c>
      <c r="C11" s="50">
        <v>115</v>
      </c>
      <c r="D11" s="47" t="s">
        <v>168</v>
      </c>
      <c r="E11" s="117"/>
      <c r="F11" s="117"/>
      <c r="G11" s="117"/>
      <c r="H11" s="117"/>
      <c r="I11" s="117"/>
    </row>
    <row r="12" spans="1:10" ht="31.5" x14ac:dyDescent="0.25">
      <c r="A12" s="3">
        <f t="shared" si="0"/>
        <v>8</v>
      </c>
      <c r="B12" s="4" t="s">
        <v>258</v>
      </c>
      <c r="C12" s="50">
        <v>10</v>
      </c>
      <c r="D12" s="47" t="s">
        <v>24</v>
      </c>
      <c r="E12" s="117"/>
      <c r="F12" s="117"/>
      <c r="G12" s="117"/>
      <c r="H12" s="117"/>
      <c r="I12" s="117"/>
    </row>
    <row r="13" spans="1:10" ht="15.75" x14ac:dyDescent="0.25">
      <c r="A13" s="3">
        <f t="shared" si="0"/>
        <v>9</v>
      </c>
      <c r="B13" s="4" t="s">
        <v>259</v>
      </c>
      <c r="C13" s="50">
        <v>20</v>
      </c>
      <c r="D13" s="47" t="s">
        <v>24</v>
      </c>
      <c r="E13" s="117"/>
      <c r="F13" s="117"/>
      <c r="G13" s="117"/>
      <c r="H13" s="117"/>
      <c r="I13" s="117"/>
    </row>
    <row r="14" spans="1:10" ht="15.75" x14ac:dyDescent="0.25">
      <c r="A14" s="3">
        <f t="shared" si="0"/>
        <v>10</v>
      </c>
      <c r="B14" s="4" t="s">
        <v>260</v>
      </c>
      <c r="C14" s="50">
        <v>3</v>
      </c>
      <c r="D14" s="47" t="s">
        <v>24</v>
      </c>
      <c r="E14" s="117"/>
      <c r="F14" s="117"/>
      <c r="G14" s="117"/>
      <c r="H14" s="117"/>
      <c r="I14" s="117"/>
    </row>
  </sheetData>
  <mergeCells count="8">
    <mergeCell ref="E1:F1"/>
    <mergeCell ref="G1:I1"/>
    <mergeCell ref="A3:D3"/>
    <mergeCell ref="A4:D4"/>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2.2. Töltés tartozékok&amp;R&amp;"Times New Roman,Normál"&amp;9Mennyiségi kiírás (IV. kötet)</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opLeftCell="A4" zoomScale="70" zoomScaleNormal="70" workbookViewId="0">
      <selection activeCell="A109" sqref="A109"/>
    </sheetView>
  </sheetViews>
  <sheetFormatPr defaultColWidth="9" defaultRowHeight="15.75" x14ac:dyDescent="0.25"/>
  <cols>
    <col min="1" max="1" width="6" style="274" customWidth="1"/>
    <col min="2" max="2" width="60.7109375" style="274" customWidth="1"/>
    <col min="3" max="3" width="10.7109375" style="274" customWidth="1"/>
    <col min="4" max="4" width="6.7109375" style="274" customWidth="1"/>
    <col min="5" max="8" width="8.7109375" style="274" customWidth="1"/>
    <col min="9" max="9" width="10.42578125" style="274" customWidth="1"/>
    <col min="10" max="16384" width="9" style="274"/>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273" t="s">
        <v>668</v>
      </c>
      <c r="F2" s="273" t="s">
        <v>669</v>
      </c>
      <c r="G2" s="273" t="s">
        <v>668</v>
      </c>
      <c r="H2" s="273" t="s">
        <v>669</v>
      </c>
      <c r="I2" s="112" t="s">
        <v>670</v>
      </c>
    </row>
    <row r="3" spans="1:10" x14ac:dyDescent="0.25">
      <c r="A3" s="422" t="s">
        <v>174</v>
      </c>
      <c r="B3" s="422"/>
      <c r="C3" s="422"/>
      <c r="D3" s="423"/>
      <c r="E3" s="275"/>
      <c r="F3" s="276"/>
      <c r="G3" s="276"/>
      <c r="H3" s="277"/>
      <c r="I3" s="278"/>
    </row>
    <row r="4" spans="1:10" x14ac:dyDescent="0.25">
      <c r="A4" s="415" t="s">
        <v>251</v>
      </c>
      <c r="B4" s="415"/>
      <c r="C4" s="415"/>
      <c r="D4" s="416"/>
      <c r="E4" s="279"/>
      <c r="F4" s="280"/>
      <c r="G4" s="280"/>
      <c r="H4" s="281"/>
      <c r="I4" s="282"/>
    </row>
    <row r="5" spans="1:10" ht="16.5" thickBot="1" x14ac:dyDescent="0.3">
      <c r="A5" s="415" t="s">
        <v>249</v>
      </c>
      <c r="B5" s="415"/>
      <c r="C5" s="415"/>
      <c r="D5" s="416"/>
      <c r="E5" s="279"/>
      <c r="F5" s="280"/>
      <c r="G5" s="280"/>
      <c r="H5" s="281"/>
      <c r="I5" s="282"/>
    </row>
    <row r="6" spans="1:10" ht="16.5" thickBot="1" x14ac:dyDescent="0.3">
      <c r="A6" s="412" t="s">
        <v>1</v>
      </c>
      <c r="B6" s="413"/>
      <c r="C6" s="413"/>
      <c r="D6" s="413"/>
      <c r="E6" s="283"/>
      <c r="F6" s="284"/>
      <c r="G6" s="284"/>
      <c r="H6" s="285"/>
      <c r="I6" s="286"/>
    </row>
    <row r="7" spans="1:10" ht="35.25" customHeight="1" x14ac:dyDescent="0.25">
      <c r="A7" s="417" t="s">
        <v>175</v>
      </c>
      <c r="B7" s="418"/>
      <c r="C7" s="418"/>
      <c r="D7" s="418"/>
      <c r="E7" s="287"/>
      <c r="F7" s="281"/>
      <c r="G7" s="281"/>
      <c r="H7" s="281"/>
      <c r="I7" s="282"/>
      <c r="J7" s="288"/>
    </row>
    <row r="8" spans="1:10" ht="35.25" customHeight="1" x14ac:dyDescent="0.25">
      <c r="A8" s="55">
        <v>1</v>
      </c>
      <c r="B8" s="289" t="s">
        <v>176</v>
      </c>
      <c r="C8" s="290">
        <v>52</v>
      </c>
      <c r="D8" s="291" t="s">
        <v>112</v>
      </c>
      <c r="E8" s="292"/>
      <c r="F8" s="292"/>
      <c r="G8" s="292"/>
      <c r="H8" s="292"/>
      <c r="I8" s="292"/>
    </row>
    <row r="9" spans="1:10" ht="32.25" thickBot="1" x14ac:dyDescent="0.3">
      <c r="A9" s="11">
        <f>A8+1</f>
        <v>2</v>
      </c>
      <c r="B9" s="293" t="s">
        <v>178</v>
      </c>
      <c r="C9" s="294">
        <v>20</v>
      </c>
      <c r="D9" s="98" t="s">
        <v>114</v>
      </c>
      <c r="E9" s="292"/>
      <c r="F9" s="292"/>
      <c r="G9" s="292"/>
      <c r="H9" s="292"/>
      <c r="I9" s="292"/>
    </row>
    <row r="10" spans="1:10" ht="16.5" thickBot="1" x14ac:dyDescent="0.3">
      <c r="A10" s="412" t="s">
        <v>179</v>
      </c>
      <c r="B10" s="413"/>
      <c r="C10" s="413"/>
      <c r="D10" s="414"/>
      <c r="E10" s="283"/>
      <c r="F10" s="284"/>
      <c r="G10" s="284"/>
      <c r="H10" s="285"/>
      <c r="I10" s="286"/>
    </row>
    <row r="11" spans="1:10" ht="32.25" thickBot="1" x14ac:dyDescent="0.3">
      <c r="A11" s="56">
        <v>1</v>
      </c>
      <c r="B11" s="295" t="s">
        <v>180</v>
      </c>
      <c r="C11" s="296">
        <v>500</v>
      </c>
      <c r="D11" s="28" t="s">
        <v>168</v>
      </c>
      <c r="E11" s="297"/>
      <c r="F11" s="297"/>
      <c r="G11" s="297"/>
      <c r="H11" s="297"/>
      <c r="I11" s="297"/>
    </row>
    <row r="12" spans="1:10" ht="16.5" thickBot="1" x14ac:dyDescent="0.3">
      <c r="A12" s="412" t="s">
        <v>181</v>
      </c>
      <c r="B12" s="413"/>
      <c r="C12" s="413"/>
      <c r="D12" s="414"/>
      <c r="E12" s="283"/>
      <c r="F12" s="284"/>
      <c r="G12" s="284"/>
      <c r="H12" s="285"/>
      <c r="I12" s="286"/>
    </row>
    <row r="13" spans="1:10" ht="31.5" x14ac:dyDescent="0.25">
      <c r="A13" s="56">
        <v>1</v>
      </c>
      <c r="B13" s="295" t="s">
        <v>182</v>
      </c>
      <c r="C13" s="296">
        <v>26.5</v>
      </c>
      <c r="D13" s="28" t="s">
        <v>112</v>
      </c>
      <c r="E13" s="292"/>
      <c r="F13" s="292"/>
      <c r="G13" s="292"/>
      <c r="H13" s="292"/>
      <c r="I13" s="292"/>
    </row>
    <row r="14" spans="1:10" ht="31.5" x14ac:dyDescent="0.25">
      <c r="A14" s="11">
        <f t="shared" ref="A14:A26" si="0">A13+1</f>
        <v>2</v>
      </c>
      <c r="B14" s="293" t="s">
        <v>183</v>
      </c>
      <c r="C14" s="294">
        <v>4.55</v>
      </c>
      <c r="D14" s="98" t="s">
        <v>112</v>
      </c>
      <c r="E14" s="292"/>
      <c r="F14" s="292"/>
      <c r="G14" s="292"/>
      <c r="H14" s="292"/>
      <c r="I14" s="292"/>
    </row>
    <row r="15" spans="1:10" ht="31.5" x14ac:dyDescent="0.25">
      <c r="A15" s="11">
        <f t="shared" si="0"/>
        <v>3</v>
      </c>
      <c r="B15" s="293" t="s">
        <v>184</v>
      </c>
      <c r="C15" s="294">
        <v>61.7</v>
      </c>
      <c r="D15" s="98" t="s">
        <v>112</v>
      </c>
      <c r="E15" s="292"/>
      <c r="F15" s="292"/>
      <c r="G15" s="292"/>
      <c r="H15" s="292"/>
      <c r="I15" s="292"/>
    </row>
    <row r="16" spans="1:10" ht="31.5" x14ac:dyDescent="0.25">
      <c r="A16" s="11">
        <f t="shared" si="0"/>
        <v>4</v>
      </c>
      <c r="B16" s="293" t="s">
        <v>185</v>
      </c>
      <c r="C16" s="294">
        <v>101.7</v>
      </c>
      <c r="D16" s="98" t="s">
        <v>112</v>
      </c>
      <c r="E16" s="292"/>
      <c r="F16" s="292"/>
      <c r="G16" s="292"/>
      <c r="H16" s="292"/>
      <c r="I16" s="292"/>
    </row>
    <row r="17" spans="1:9" ht="31.5" x14ac:dyDescent="0.25">
      <c r="A17" s="11">
        <f t="shared" si="0"/>
        <v>5</v>
      </c>
      <c r="B17" s="293" t="s">
        <v>186</v>
      </c>
      <c r="C17" s="294">
        <v>59.7</v>
      </c>
      <c r="D17" s="98" t="s">
        <v>112</v>
      </c>
      <c r="E17" s="292"/>
      <c r="F17" s="292"/>
      <c r="G17" s="292"/>
      <c r="H17" s="292"/>
      <c r="I17" s="292"/>
    </row>
    <row r="18" spans="1:9" ht="47.25" x14ac:dyDescent="0.25">
      <c r="A18" s="11">
        <f t="shared" si="0"/>
        <v>6</v>
      </c>
      <c r="B18" s="293" t="s">
        <v>187</v>
      </c>
      <c r="C18" s="294">
        <v>10.199999999999999</v>
      </c>
      <c r="D18" s="98" t="s">
        <v>112</v>
      </c>
      <c r="E18" s="292"/>
      <c r="F18" s="292"/>
      <c r="G18" s="292"/>
      <c r="H18" s="292"/>
      <c r="I18" s="292"/>
    </row>
    <row r="19" spans="1:9" ht="15.75" customHeight="1" x14ac:dyDescent="0.25">
      <c r="A19" s="11">
        <f t="shared" si="0"/>
        <v>7</v>
      </c>
      <c r="B19" s="293" t="s">
        <v>188</v>
      </c>
      <c r="C19" s="294">
        <v>2.5</v>
      </c>
      <c r="D19" s="98" t="s">
        <v>177</v>
      </c>
      <c r="E19" s="292"/>
      <c r="F19" s="292"/>
      <c r="G19" s="292"/>
      <c r="H19" s="292"/>
      <c r="I19" s="292"/>
    </row>
    <row r="20" spans="1:9" ht="47.25" x14ac:dyDescent="0.25">
      <c r="A20" s="11">
        <f t="shared" si="0"/>
        <v>8</v>
      </c>
      <c r="B20" s="293" t="s">
        <v>189</v>
      </c>
      <c r="C20" s="294">
        <v>25</v>
      </c>
      <c r="D20" s="98" t="s">
        <v>8</v>
      </c>
      <c r="E20" s="292"/>
      <c r="F20" s="292"/>
      <c r="G20" s="292"/>
      <c r="H20" s="292"/>
      <c r="I20" s="292"/>
    </row>
    <row r="21" spans="1:9" ht="47.25" x14ac:dyDescent="0.25">
      <c r="A21" s="11">
        <f t="shared" si="0"/>
        <v>9</v>
      </c>
      <c r="B21" s="293" t="s">
        <v>190</v>
      </c>
      <c r="C21" s="294">
        <v>13</v>
      </c>
      <c r="D21" s="98" t="s">
        <v>8</v>
      </c>
      <c r="E21" s="292"/>
      <c r="F21" s="292"/>
      <c r="G21" s="292"/>
      <c r="H21" s="292"/>
      <c r="I21" s="292"/>
    </row>
    <row r="22" spans="1:9" ht="31.5" x14ac:dyDescent="0.25">
      <c r="A22" s="11">
        <f t="shared" si="0"/>
        <v>10</v>
      </c>
      <c r="B22" s="293" t="s">
        <v>191</v>
      </c>
      <c r="C22" s="294">
        <v>205</v>
      </c>
      <c r="D22" s="98" t="s">
        <v>114</v>
      </c>
      <c r="E22" s="292"/>
      <c r="F22" s="292"/>
      <c r="G22" s="292"/>
      <c r="H22" s="292"/>
      <c r="I22" s="292"/>
    </row>
    <row r="23" spans="1:9" ht="18.75" x14ac:dyDescent="0.25">
      <c r="A23" s="11">
        <f t="shared" si="0"/>
        <v>11</v>
      </c>
      <c r="B23" s="293" t="s">
        <v>192</v>
      </c>
      <c r="C23" s="294">
        <v>1.57</v>
      </c>
      <c r="D23" s="98" t="s">
        <v>114</v>
      </c>
      <c r="E23" s="292"/>
      <c r="F23" s="292"/>
      <c r="G23" s="292"/>
      <c r="H23" s="292"/>
      <c r="I23" s="292"/>
    </row>
    <row r="24" spans="1:9" ht="31.5" x14ac:dyDescent="0.25">
      <c r="A24" s="11">
        <f t="shared" si="0"/>
        <v>12</v>
      </c>
      <c r="B24" s="293" t="s">
        <v>193</v>
      </c>
      <c r="C24" s="294">
        <v>491</v>
      </c>
      <c r="D24" s="98" t="s">
        <v>114</v>
      </c>
      <c r="E24" s="292"/>
      <c r="F24" s="292"/>
      <c r="G24" s="292"/>
      <c r="H24" s="292"/>
      <c r="I24" s="292"/>
    </row>
    <row r="25" spans="1:9" ht="18.75" x14ac:dyDescent="0.25">
      <c r="A25" s="11">
        <f t="shared" si="0"/>
        <v>13</v>
      </c>
      <c r="B25" s="293" t="s">
        <v>194</v>
      </c>
      <c r="C25" s="294">
        <v>280</v>
      </c>
      <c r="D25" s="98" t="s">
        <v>114</v>
      </c>
      <c r="E25" s="292"/>
      <c r="F25" s="292"/>
      <c r="G25" s="292"/>
      <c r="H25" s="292"/>
      <c r="I25" s="292"/>
    </row>
    <row r="26" spans="1:9" ht="16.5" thickBot="1" x14ac:dyDescent="0.3">
      <c r="A26" s="11">
        <f t="shared" si="0"/>
        <v>14</v>
      </c>
      <c r="B26" s="293" t="s">
        <v>195</v>
      </c>
      <c r="C26" s="294">
        <v>68.5</v>
      </c>
      <c r="D26" s="98" t="s">
        <v>196</v>
      </c>
      <c r="E26" s="292"/>
      <c r="F26" s="292"/>
      <c r="G26" s="292"/>
      <c r="H26" s="292"/>
      <c r="I26" s="292"/>
    </row>
    <row r="27" spans="1:9" ht="16.5" thickBot="1" x14ac:dyDescent="0.3">
      <c r="A27" s="412" t="s">
        <v>197</v>
      </c>
      <c r="B27" s="413"/>
      <c r="C27" s="413"/>
      <c r="D27" s="414"/>
      <c r="E27" s="283"/>
      <c r="F27" s="284"/>
      <c r="G27" s="284"/>
      <c r="H27" s="285"/>
      <c r="I27" s="286"/>
    </row>
    <row r="28" spans="1:9" ht="47.25" x14ac:dyDescent="0.25">
      <c r="A28" s="56">
        <v>1</v>
      </c>
      <c r="B28" s="295" t="s">
        <v>868</v>
      </c>
      <c r="C28" s="296">
        <v>299</v>
      </c>
      <c r="D28" s="28" t="s">
        <v>114</v>
      </c>
      <c r="E28" s="292"/>
      <c r="F28" s="292"/>
      <c r="G28" s="292"/>
      <c r="H28" s="292"/>
      <c r="I28" s="292"/>
    </row>
    <row r="29" spans="1:9" ht="31.5" x14ac:dyDescent="0.25">
      <c r="A29" s="55">
        <f>A28+1</f>
        <v>2</v>
      </c>
      <c r="B29" s="289" t="s">
        <v>869</v>
      </c>
      <c r="C29" s="290">
        <v>16.7</v>
      </c>
      <c r="D29" s="291" t="s">
        <v>114</v>
      </c>
      <c r="E29" s="292"/>
      <c r="F29" s="292"/>
      <c r="G29" s="292"/>
      <c r="H29" s="292"/>
      <c r="I29" s="292"/>
    </row>
    <row r="30" spans="1:9" ht="18.75" x14ac:dyDescent="0.25">
      <c r="A30" s="11">
        <f>A29+1</f>
        <v>3</v>
      </c>
      <c r="B30" s="293" t="s">
        <v>198</v>
      </c>
      <c r="C30" s="294">
        <v>4.46</v>
      </c>
      <c r="D30" s="98" t="s">
        <v>112</v>
      </c>
      <c r="E30" s="292"/>
      <c r="F30" s="292"/>
      <c r="G30" s="292"/>
      <c r="H30" s="292"/>
      <c r="I30" s="292"/>
    </row>
    <row r="31" spans="1:9" ht="95.25" thickBot="1" x14ac:dyDescent="0.3">
      <c r="A31" s="11">
        <f>A30+1</f>
        <v>4</v>
      </c>
      <c r="B31" s="65" t="s">
        <v>870</v>
      </c>
      <c r="C31" s="294">
        <f>0.09*8*8.3</f>
        <v>5.976</v>
      </c>
      <c r="D31" s="98" t="s">
        <v>112</v>
      </c>
      <c r="E31" s="292"/>
      <c r="F31" s="292"/>
      <c r="G31" s="292"/>
      <c r="H31" s="292"/>
      <c r="I31" s="292"/>
    </row>
    <row r="32" spans="1:9" ht="16.5" thickBot="1" x14ac:dyDescent="0.3">
      <c r="A32" s="412" t="s">
        <v>199</v>
      </c>
      <c r="B32" s="413"/>
      <c r="C32" s="413"/>
      <c r="D32" s="414"/>
      <c r="E32" s="283"/>
      <c r="F32" s="284"/>
      <c r="G32" s="284"/>
      <c r="H32" s="285"/>
      <c r="I32" s="286"/>
    </row>
    <row r="33" spans="1:9" ht="50.25" x14ac:dyDescent="0.25">
      <c r="A33" s="56">
        <v>1</v>
      </c>
      <c r="B33" s="295" t="s">
        <v>200</v>
      </c>
      <c r="C33" s="296">
        <v>168</v>
      </c>
      <c r="D33" s="28" t="s">
        <v>114</v>
      </c>
      <c r="E33" s="292"/>
      <c r="F33" s="292"/>
      <c r="G33" s="292"/>
      <c r="H33" s="292"/>
      <c r="I33" s="292"/>
    </row>
    <row r="34" spans="1:9" ht="18.75" x14ac:dyDescent="0.25">
      <c r="A34" s="11">
        <f t="shared" ref="A34:A35" si="1">A33+1</f>
        <v>2</v>
      </c>
      <c r="B34" s="293" t="s">
        <v>201</v>
      </c>
      <c r="C34" s="294">
        <v>33.6</v>
      </c>
      <c r="D34" s="98" t="s">
        <v>114</v>
      </c>
      <c r="E34" s="292"/>
      <c r="F34" s="292"/>
      <c r="G34" s="292"/>
      <c r="H34" s="292"/>
      <c r="I34" s="292"/>
    </row>
    <row r="35" spans="1:9" ht="19.5" thickBot="1" x14ac:dyDescent="0.3">
      <c r="A35" s="11">
        <f t="shared" si="1"/>
        <v>3</v>
      </c>
      <c r="B35" s="293" t="s">
        <v>202</v>
      </c>
      <c r="C35" s="294">
        <v>6.1</v>
      </c>
      <c r="D35" s="98" t="s">
        <v>114</v>
      </c>
      <c r="E35" s="292"/>
      <c r="F35" s="292"/>
      <c r="G35" s="292"/>
      <c r="H35" s="292"/>
      <c r="I35" s="292"/>
    </row>
    <row r="36" spans="1:9" ht="16.5" thickBot="1" x14ac:dyDescent="0.3">
      <c r="A36" s="412" t="s">
        <v>203</v>
      </c>
      <c r="B36" s="413"/>
      <c r="C36" s="413"/>
      <c r="D36" s="414"/>
      <c r="E36" s="283"/>
      <c r="F36" s="284"/>
      <c r="G36" s="284"/>
      <c r="H36" s="285"/>
      <c r="I36" s="286"/>
    </row>
    <row r="37" spans="1:9" ht="32.25" thickBot="1" x14ac:dyDescent="0.3">
      <c r="A37" s="175">
        <v>1</v>
      </c>
      <c r="B37" s="298" t="s">
        <v>204</v>
      </c>
      <c r="C37" s="299">
        <v>936</v>
      </c>
      <c r="D37" s="300" t="s">
        <v>196</v>
      </c>
      <c r="E37" s="301"/>
      <c r="F37" s="277"/>
      <c r="G37" s="277"/>
      <c r="H37" s="277"/>
      <c r="I37" s="278"/>
    </row>
    <row r="38" spans="1:9" ht="16.5" thickBot="1" x14ac:dyDescent="0.3">
      <c r="A38" s="412" t="s">
        <v>205</v>
      </c>
      <c r="B38" s="413"/>
      <c r="C38" s="413"/>
      <c r="D38" s="414"/>
      <c r="E38" s="283"/>
      <c r="F38" s="284"/>
      <c r="G38" s="284"/>
      <c r="H38" s="285"/>
      <c r="I38" s="286"/>
    </row>
    <row r="39" spans="1:9" ht="189" x14ac:dyDescent="0.25">
      <c r="A39" s="56">
        <v>1</v>
      </c>
      <c r="B39" s="67" t="s">
        <v>871</v>
      </c>
      <c r="C39" s="296">
        <v>332</v>
      </c>
      <c r="D39" s="28" t="s">
        <v>114</v>
      </c>
      <c r="E39" s="292"/>
      <c r="F39" s="292"/>
      <c r="G39" s="292"/>
      <c r="H39" s="292"/>
      <c r="I39" s="292"/>
    </row>
    <row r="40" spans="1:9" ht="111" thickBot="1" x14ac:dyDescent="0.3">
      <c r="A40" s="55">
        <f>A39+1</f>
        <v>2</v>
      </c>
      <c r="B40" s="67" t="s">
        <v>872</v>
      </c>
      <c r="C40" s="294">
        <v>31</v>
      </c>
      <c r="D40" s="98" t="s">
        <v>114</v>
      </c>
      <c r="E40" s="292"/>
      <c r="F40" s="292"/>
      <c r="G40" s="292"/>
      <c r="H40" s="292"/>
      <c r="I40" s="292"/>
    </row>
    <row r="41" spans="1:9" ht="16.5" thickBot="1" x14ac:dyDescent="0.3">
      <c r="A41" s="412" t="s">
        <v>206</v>
      </c>
      <c r="B41" s="413"/>
      <c r="C41" s="413"/>
      <c r="D41" s="414"/>
      <c r="E41" s="283"/>
      <c r="F41" s="284"/>
      <c r="G41" s="284"/>
      <c r="H41" s="285"/>
      <c r="I41" s="286"/>
    </row>
    <row r="42" spans="1:9" ht="47.25" x14ac:dyDescent="0.25">
      <c r="A42" s="56">
        <v>1</v>
      </c>
      <c r="B42" s="29" t="s">
        <v>873</v>
      </c>
      <c r="C42" s="296">
        <f>(5.67*21)*2-(4.72*1.9)*6+(4.03*1.9)*6</f>
        <v>230.274</v>
      </c>
      <c r="D42" s="28" t="s">
        <v>196</v>
      </c>
      <c r="E42" s="292"/>
      <c r="F42" s="292"/>
      <c r="G42" s="292"/>
      <c r="H42" s="292"/>
      <c r="I42" s="292"/>
    </row>
    <row r="43" spans="1:9" ht="267.75" x14ac:dyDescent="0.25">
      <c r="A43" s="11">
        <f t="shared" ref="A43:A49" si="2">A42+1</f>
        <v>2</v>
      </c>
      <c r="B43" s="65" t="s">
        <v>874</v>
      </c>
      <c r="C43" s="294">
        <f>C42</f>
        <v>230.274</v>
      </c>
      <c r="D43" s="98" t="s">
        <v>196</v>
      </c>
      <c r="E43" s="292"/>
      <c r="F43" s="292"/>
      <c r="G43" s="292"/>
      <c r="H43" s="292"/>
      <c r="I43" s="292"/>
    </row>
    <row r="44" spans="1:9" ht="15.75" customHeight="1" x14ac:dyDescent="0.25">
      <c r="A44" s="11">
        <f t="shared" si="2"/>
        <v>3</v>
      </c>
      <c r="B44" s="293" t="s">
        <v>875</v>
      </c>
      <c r="C44" s="294">
        <f>C43</f>
        <v>230.274</v>
      </c>
      <c r="D44" s="98" t="s">
        <v>196</v>
      </c>
      <c r="E44" s="292"/>
      <c r="F44" s="292"/>
      <c r="G44" s="292"/>
      <c r="H44" s="292"/>
      <c r="I44" s="292"/>
    </row>
    <row r="45" spans="1:9" x14ac:dyDescent="0.25">
      <c r="A45" s="11">
        <f t="shared" si="2"/>
        <v>4</v>
      </c>
      <c r="B45" s="293" t="s">
        <v>207</v>
      </c>
      <c r="C45" s="294">
        <f>(5.67*21)*2-(4.72*1.9)*6+(4.03*1.9)*6</f>
        <v>230.274</v>
      </c>
      <c r="D45" s="98" t="s">
        <v>196</v>
      </c>
      <c r="E45" s="292"/>
      <c r="F45" s="292"/>
      <c r="G45" s="292"/>
      <c r="H45" s="292"/>
      <c r="I45" s="292"/>
    </row>
    <row r="46" spans="1:9" ht="31.5" x14ac:dyDescent="0.25">
      <c r="A46" s="11">
        <f t="shared" si="2"/>
        <v>5</v>
      </c>
      <c r="B46" s="293" t="s">
        <v>208</v>
      </c>
      <c r="C46" s="294">
        <f>(11*21)*2+(2*5.3)*26</f>
        <v>737.59999999999991</v>
      </c>
      <c r="D46" s="98" t="s">
        <v>168</v>
      </c>
      <c r="E46" s="292"/>
      <c r="F46" s="292"/>
      <c r="G46" s="292"/>
      <c r="H46" s="292"/>
      <c r="I46" s="292"/>
    </row>
    <row r="47" spans="1:9" x14ac:dyDescent="0.25">
      <c r="A47" s="11">
        <f t="shared" si="2"/>
        <v>6</v>
      </c>
      <c r="B47" s="293" t="s">
        <v>876</v>
      </c>
      <c r="C47" s="294">
        <f>2*2*21</f>
        <v>84</v>
      </c>
      <c r="D47" s="98" t="s">
        <v>168</v>
      </c>
      <c r="E47" s="292"/>
      <c r="F47" s="292"/>
      <c r="G47" s="292"/>
      <c r="H47" s="292"/>
      <c r="I47" s="292"/>
    </row>
    <row r="48" spans="1:9" x14ac:dyDescent="0.25">
      <c r="A48" s="11">
        <f t="shared" si="2"/>
        <v>7</v>
      </c>
      <c r="B48" s="293" t="s">
        <v>877</v>
      </c>
      <c r="C48" s="294">
        <f>2*21</f>
        <v>42</v>
      </c>
      <c r="D48" s="98" t="s">
        <v>168</v>
      </c>
      <c r="E48" s="292"/>
      <c r="F48" s="292"/>
      <c r="G48" s="292"/>
      <c r="H48" s="292"/>
      <c r="I48" s="292"/>
    </row>
    <row r="49" spans="1:9" ht="16.5" thickBot="1" x14ac:dyDescent="0.3">
      <c r="A49" s="11">
        <f t="shared" si="2"/>
        <v>8</v>
      </c>
      <c r="B49" s="293" t="s">
        <v>878</v>
      </c>
      <c r="C49" s="294">
        <f>21</f>
        <v>21</v>
      </c>
      <c r="D49" s="98" t="s">
        <v>168</v>
      </c>
      <c r="E49" s="292"/>
      <c r="F49" s="292"/>
      <c r="G49" s="292"/>
      <c r="H49" s="292"/>
      <c r="I49" s="292"/>
    </row>
    <row r="50" spans="1:9" ht="16.5" thickBot="1" x14ac:dyDescent="0.3">
      <c r="A50" s="412" t="s">
        <v>209</v>
      </c>
      <c r="B50" s="413"/>
      <c r="C50" s="413"/>
      <c r="D50" s="414"/>
      <c r="E50" s="283"/>
      <c r="F50" s="284"/>
      <c r="G50" s="284"/>
      <c r="H50" s="285"/>
      <c r="I50" s="286"/>
    </row>
    <row r="51" spans="1:9" ht="31.5" customHeight="1" x14ac:dyDescent="0.25">
      <c r="A51" s="56">
        <v>1</v>
      </c>
      <c r="B51" s="295" t="s">
        <v>879</v>
      </c>
      <c r="C51" s="296">
        <v>134</v>
      </c>
      <c r="D51" s="28" t="s">
        <v>114</v>
      </c>
      <c r="E51" s="292"/>
      <c r="F51" s="292"/>
      <c r="G51" s="292"/>
      <c r="H51" s="292"/>
      <c r="I51" s="292"/>
    </row>
    <row r="52" spans="1:9" ht="47.25" x14ac:dyDescent="0.25">
      <c r="A52" s="11">
        <f t="shared" ref="A52:A53" si="3">A51+1</f>
        <v>2</v>
      </c>
      <c r="B52" s="293" t="s">
        <v>210</v>
      </c>
      <c r="C52" s="294">
        <v>183</v>
      </c>
      <c r="D52" s="98" t="s">
        <v>114</v>
      </c>
      <c r="E52" s="292"/>
      <c r="F52" s="292"/>
      <c r="G52" s="292"/>
      <c r="H52" s="292"/>
      <c r="I52" s="292"/>
    </row>
    <row r="53" spans="1:9" ht="47.25" x14ac:dyDescent="0.25">
      <c r="A53" s="11">
        <f t="shared" si="3"/>
        <v>3</v>
      </c>
      <c r="B53" s="293" t="s">
        <v>211</v>
      </c>
      <c r="C53" s="294">
        <v>13.8</v>
      </c>
      <c r="D53" s="98" t="s">
        <v>114</v>
      </c>
      <c r="E53" s="292"/>
      <c r="F53" s="292"/>
      <c r="G53" s="292"/>
      <c r="H53" s="292"/>
      <c r="I53" s="292"/>
    </row>
    <row r="54" spans="1:9" ht="16.5" thickBot="1" x14ac:dyDescent="0.3">
      <c r="A54" s="12"/>
      <c r="B54" s="302"/>
      <c r="C54" s="303"/>
      <c r="D54" s="17"/>
    </row>
    <row r="55" spans="1:9" ht="16.5" thickBot="1" x14ac:dyDescent="0.3">
      <c r="A55" s="412" t="s">
        <v>212</v>
      </c>
      <c r="B55" s="413"/>
      <c r="C55" s="413"/>
      <c r="D55" s="414"/>
      <c r="E55" s="283"/>
      <c r="F55" s="284"/>
      <c r="G55" s="284"/>
      <c r="H55" s="285"/>
      <c r="I55" s="286"/>
    </row>
    <row r="56" spans="1:9" ht="18.75" x14ac:dyDescent="0.25">
      <c r="A56" s="56">
        <v>1</v>
      </c>
      <c r="B56" s="27" t="s">
        <v>880</v>
      </c>
      <c r="C56" s="296">
        <f>(4.08+3+25.2+1.35+10.26)+(5.1+1.53+1.53+32.97+2.3+6.75+7.8+3.47)</f>
        <v>105.33999999999999</v>
      </c>
      <c r="D56" s="28" t="s">
        <v>114</v>
      </c>
      <c r="E56" s="292"/>
      <c r="F56" s="292"/>
      <c r="G56" s="292"/>
      <c r="H56" s="292"/>
      <c r="I56" s="292"/>
    </row>
    <row r="57" spans="1:9" ht="47.25" x14ac:dyDescent="0.25">
      <c r="A57" s="11">
        <f t="shared" ref="A57:A62" si="4">A56+1</f>
        <v>2</v>
      </c>
      <c r="B57" s="65" t="s">
        <v>881</v>
      </c>
      <c r="C57" s="294">
        <f>(0)+(10.18+10.18+21.89+11.16+9.78+16.65+28.8)</f>
        <v>108.64</v>
      </c>
      <c r="D57" s="98" t="s">
        <v>196</v>
      </c>
      <c r="E57" s="292"/>
      <c r="F57" s="292"/>
      <c r="G57" s="292"/>
      <c r="H57" s="292"/>
      <c r="I57" s="292"/>
    </row>
    <row r="58" spans="1:9" ht="31.5" x14ac:dyDescent="0.25">
      <c r="A58" s="11">
        <f t="shared" si="4"/>
        <v>3</v>
      </c>
      <c r="B58" s="293" t="s">
        <v>213</v>
      </c>
      <c r="C58" s="294">
        <f>(1.35+6.05+1.35+7.59+11.88)+(4.9+3.57)</f>
        <v>36.69</v>
      </c>
      <c r="D58" s="98" t="s">
        <v>196</v>
      </c>
      <c r="E58" s="292"/>
      <c r="F58" s="292"/>
      <c r="G58" s="292"/>
      <c r="H58" s="292"/>
      <c r="I58" s="292"/>
    </row>
    <row r="59" spans="1:9" ht="31.5" x14ac:dyDescent="0.25">
      <c r="A59" s="11">
        <f t="shared" si="4"/>
        <v>4</v>
      </c>
      <c r="B59" s="293" t="s">
        <v>882</v>
      </c>
      <c r="C59" s="294">
        <f>((4.45+2*0.6)+(2.7+2*1.85)+(2.6+2*0.6))*0.5</f>
        <v>7.9250000000000007</v>
      </c>
      <c r="D59" s="98" t="s">
        <v>114</v>
      </c>
      <c r="E59" s="292"/>
      <c r="F59" s="292"/>
      <c r="G59" s="292"/>
      <c r="H59" s="292"/>
      <c r="I59" s="292"/>
    </row>
    <row r="60" spans="1:9" ht="18.75" x14ac:dyDescent="0.25">
      <c r="A60" s="11">
        <f t="shared" si="4"/>
        <v>5</v>
      </c>
      <c r="B60" s="293" t="s">
        <v>214</v>
      </c>
      <c r="C60" s="294">
        <f>((0.9*2+1.5*2)+(4*2+1.5*2)+(0.9*2+1.5*2)+(2.3*2+3.3*2)+(1.2*2+2.5*2)+(4.5*2+2.65*2)+(0.9*2+1.5*2))*3.1+((4)+(4))-(0.9*0.9*7+0.6*0.9*1+0.75*2.1*8+1*2.7*1)+(0)+((1.85*2+1.65*2)+(1.5*2+1.5*2)+(0.9*2+0.9*2)+(0.9*2+0.9*2)+(1.35*2+0.9*2))*2.7+(4)-(0.75*2.1*5)</f>
        <v>230.03500000000003</v>
      </c>
      <c r="D60" s="98" t="s">
        <v>114</v>
      </c>
      <c r="E60" s="292"/>
      <c r="F60" s="292"/>
      <c r="G60" s="292"/>
      <c r="H60" s="292"/>
      <c r="I60" s="292"/>
    </row>
    <row r="61" spans="1:9" ht="31.5" x14ac:dyDescent="0.25">
      <c r="A61" s="11">
        <f t="shared" si="4"/>
        <v>6</v>
      </c>
      <c r="B61" s="293" t="s">
        <v>883</v>
      </c>
      <c r="C61" s="294">
        <f>(12.44)+(0)</f>
        <v>12.44</v>
      </c>
      <c r="D61" s="98" t="s">
        <v>114</v>
      </c>
      <c r="E61" s="292"/>
      <c r="F61" s="292"/>
      <c r="G61" s="292"/>
      <c r="H61" s="292"/>
      <c r="I61" s="292"/>
    </row>
    <row r="62" spans="1:9" ht="63.75" thickBot="1" x14ac:dyDescent="0.3">
      <c r="A62" s="11">
        <f t="shared" si="4"/>
        <v>7</v>
      </c>
      <c r="B62" s="65" t="s">
        <v>884</v>
      </c>
      <c r="C62" s="294">
        <f>27+27</f>
        <v>54</v>
      </c>
      <c r="D62" s="98" t="s">
        <v>114</v>
      </c>
      <c r="E62" s="292"/>
      <c r="F62" s="292"/>
      <c r="G62" s="292"/>
      <c r="H62" s="292"/>
      <c r="I62" s="292"/>
    </row>
    <row r="63" spans="1:9" ht="16.5" thickBot="1" x14ac:dyDescent="0.3">
      <c r="A63" s="412" t="s">
        <v>215</v>
      </c>
      <c r="B63" s="413"/>
      <c r="C63" s="413"/>
      <c r="D63" s="414"/>
      <c r="E63" s="283"/>
      <c r="F63" s="284"/>
      <c r="G63" s="284"/>
      <c r="H63" s="285"/>
      <c r="I63" s="286"/>
    </row>
    <row r="64" spans="1:9" ht="63" x14ac:dyDescent="0.25">
      <c r="A64" s="56">
        <v>1</v>
      </c>
      <c r="B64" s="27" t="s">
        <v>885</v>
      </c>
      <c r="C64" s="296">
        <f>(9.14*2+5.22*2)</f>
        <v>28.72</v>
      </c>
      <c r="D64" s="28" t="s">
        <v>168</v>
      </c>
      <c r="E64" s="292"/>
      <c r="F64" s="292"/>
      <c r="G64" s="292"/>
      <c r="H64" s="292"/>
      <c r="I64" s="292"/>
    </row>
    <row r="65" spans="1:9" ht="47.25" x14ac:dyDescent="0.25">
      <c r="A65" s="11">
        <f t="shared" ref="A65:A69" si="5">A64+1</f>
        <v>2</v>
      </c>
      <c r="B65" s="293" t="s">
        <v>886</v>
      </c>
      <c r="C65" s="294">
        <f>(0.9*12)+(1.5*3)+(2*1)</f>
        <v>17.3</v>
      </c>
      <c r="D65" s="28" t="s">
        <v>168</v>
      </c>
      <c r="E65" s="292"/>
      <c r="F65" s="292"/>
      <c r="G65" s="292"/>
      <c r="H65" s="292"/>
      <c r="I65" s="292"/>
    </row>
    <row r="66" spans="1:9" ht="47.25" x14ac:dyDescent="0.25">
      <c r="A66" s="11">
        <f t="shared" si="5"/>
        <v>3</v>
      </c>
      <c r="B66" s="293" t="s">
        <v>887</v>
      </c>
      <c r="C66" s="294">
        <v>41</v>
      </c>
      <c r="D66" s="28" t="s">
        <v>168</v>
      </c>
      <c r="E66" s="292"/>
      <c r="F66" s="292"/>
      <c r="G66" s="292"/>
      <c r="H66" s="292"/>
      <c r="I66" s="292"/>
    </row>
    <row r="67" spans="1:9" ht="47.25" x14ac:dyDescent="0.25">
      <c r="A67" s="11">
        <f t="shared" si="5"/>
        <v>4</v>
      </c>
      <c r="B67" s="293" t="s">
        <v>888</v>
      </c>
      <c r="C67" s="294">
        <v>16</v>
      </c>
      <c r="D67" s="28" t="s">
        <v>168</v>
      </c>
      <c r="E67" s="292"/>
      <c r="F67" s="292"/>
      <c r="G67" s="292"/>
      <c r="H67" s="292"/>
      <c r="I67" s="292"/>
    </row>
    <row r="68" spans="1:9" ht="31.5" x14ac:dyDescent="0.25">
      <c r="A68" s="11">
        <f t="shared" si="5"/>
        <v>5</v>
      </c>
      <c r="B68" s="293" t="s">
        <v>889</v>
      </c>
      <c r="C68" s="294">
        <f>21*2</f>
        <v>42</v>
      </c>
      <c r="D68" s="28" t="s">
        <v>168</v>
      </c>
      <c r="E68" s="292"/>
      <c r="F68" s="292"/>
      <c r="G68" s="292"/>
      <c r="H68" s="292"/>
      <c r="I68" s="292"/>
    </row>
    <row r="69" spans="1:9" ht="48" thickBot="1" x14ac:dyDescent="0.3">
      <c r="A69" s="11">
        <f t="shared" si="5"/>
        <v>6</v>
      </c>
      <c r="B69" s="293" t="s">
        <v>890</v>
      </c>
      <c r="C69" s="294">
        <f>(1.5*2+1.41)*6</f>
        <v>26.46</v>
      </c>
      <c r="D69" s="98" t="s">
        <v>196</v>
      </c>
      <c r="E69" s="292"/>
      <c r="F69" s="292"/>
      <c r="G69" s="292"/>
      <c r="H69" s="292"/>
      <c r="I69" s="292"/>
    </row>
    <row r="70" spans="1:9" ht="16.5" thickBot="1" x14ac:dyDescent="0.3">
      <c r="A70" s="412" t="s">
        <v>216</v>
      </c>
      <c r="B70" s="413"/>
      <c r="C70" s="413"/>
      <c r="D70" s="414"/>
      <c r="E70" s="283"/>
      <c r="F70" s="284"/>
      <c r="G70" s="284"/>
      <c r="H70" s="285"/>
      <c r="I70" s="286"/>
    </row>
    <row r="71" spans="1:9" ht="31.5" customHeight="1" x14ac:dyDescent="0.25">
      <c r="A71" s="11">
        <v>1</v>
      </c>
      <c r="B71" s="293" t="s">
        <v>217</v>
      </c>
      <c r="C71" s="294">
        <f>(1)+(9)</f>
        <v>10</v>
      </c>
      <c r="D71" s="292" t="s">
        <v>24</v>
      </c>
      <c r="E71" s="292"/>
      <c r="F71" s="292"/>
      <c r="G71" s="292"/>
      <c r="H71" s="292"/>
      <c r="I71" s="292"/>
    </row>
    <row r="72" spans="1:9" x14ac:dyDescent="0.25">
      <c r="A72" s="11">
        <f t="shared" ref="A72:A78" si="6">A71+1</f>
        <v>2</v>
      </c>
      <c r="B72" s="293" t="s">
        <v>218</v>
      </c>
      <c r="C72" s="294">
        <v>6</v>
      </c>
      <c r="D72" s="98" t="s">
        <v>24</v>
      </c>
      <c r="E72" s="292"/>
      <c r="F72" s="292"/>
      <c r="G72" s="292"/>
      <c r="H72" s="292"/>
      <c r="I72" s="292"/>
    </row>
    <row r="73" spans="1:9" x14ac:dyDescent="0.25">
      <c r="A73" s="11">
        <f t="shared" si="6"/>
        <v>3</v>
      </c>
      <c r="B73" s="293" t="s">
        <v>219</v>
      </c>
      <c r="C73" s="294">
        <v>7</v>
      </c>
      <c r="D73" s="98" t="s">
        <v>24</v>
      </c>
      <c r="E73" s="292"/>
      <c r="F73" s="292"/>
      <c r="G73" s="292"/>
      <c r="H73" s="292"/>
      <c r="I73" s="292"/>
    </row>
    <row r="74" spans="1:9" ht="47.25" x14ac:dyDescent="0.25">
      <c r="A74" s="11">
        <f t="shared" si="6"/>
        <v>4</v>
      </c>
      <c r="B74" s="293" t="s">
        <v>220</v>
      </c>
      <c r="C74" s="294">
        <v>1</v>
      </c>
      <c r="D74" s="98" t="s">
        <v>24</v>
      </c>
      <c r="E74" s="292"/>
      <c r="F74" s="292"/>
      <c r="G74" s="292"/>
      <c r="H74" s="292"/>
      <c r="I74" s="292"/>
    </row>
    <row r="75" spans="1:9" ht="31.5" x14ac:dyDescent="0.25">
      <c r="A75" s="11">
        <f t="shared" si="6"/>
        <v>5</v>
      </c>
      <c r="B75" s="293" t="s">
        <v>221</v>
      </c>
      <c r="C75" s="294">
        <v>2</v>
      </c>
      <c r="D75" s="98" t="s">
        <v>24</v>
      </c>
      <c r="E75" s="292"/>
      <c r="F75" s="292"/>
      <c r="G75" s="292"/>
      <c r="H75" s="292"/>
      <c r="I75" s="292"/>
    </row>
    <row r="76" spans="1:9" ht="31.5" x14ac:dyDescent="0.25">
      <c r="A76" s="11">
        <f t="shared" si="6"/>
        <v>6</v>
      </c>
      <c r="B76" s="293" t="s">
        <v>222</v>
      </c>
      <c r="C76" s="294">
        <v>13.5</v>
      </c>
      <c r="D76" s="98" t="s">
        <v>168</v>
      </c>
      <c r="E76" s="292"/>
      <c r="F76" s="292"/>
      <c r="G76" s="292"/>
      <c r="H76" s="292"/>
      <c r="I76" s="292"/>
    </row>
    <row r="77" spans="1:9" x14ac:dyDescent="0.25">
      <c r="A77" s="11">
        <f t="shared" si="6"/>
        <v>7</v>
      </c>
      <c r="B77" s="293" t="s">
        <v>223</v>
      </c>
      <c r="C77" s="294">
        <v>13.5</v>
      </c>
      <c r="D77" s="98" t="s">
        <v>168</v>
      </c>
      <c r="E77" s="292"/>
      <c r="F77" s="292"/>
      <c r="G77" s="292"/>
      <c r="H77" s="292"/>
      <c r="I77" s="292"/>
    </row>
    <row r="78" spans="1:9" ht="32.25" thickBot="1" x14ac:dyDescent="0.3">
      <c r="A78" s="11">
        <f t="shared" si="6"/>
        <v>8</v>
      </c>
      <c r="B78" s="293" t="s">
        <v>224</v>
      </c>
      <c r="C78" s="294">
        <v>1</v>
      </c>
      <c r="D78" s="98" t="s">
        <v>24</v>
      </c>
      <c r="E78" s="292"/>
      <c r="F78" s="292"/>
      <c r="G78" s="292"/>
      <c r="H78" s="292"/>
      <c r="I78" s="292"/>
    </row>
    <row r="79" spans="1:9" ht="16.5" thickBot="1" x14ac:dyDescent="0.3">
      <c r="A79" s="412" t="s">
        <v>225</v>
      </c>
      <c r="B79" s="413"/>
      <c r="C79" s="413"/>
      <c r="D79" s="414"/>
      <c r="E79" s="283"/>
      <c r="F79" s="284"/>
      <c r="G79" s="284"/>
      <c r="H79" s="285"/>
      <c r="I79" s="286"/>
    </row>
    <row r="80" spans="1:9" ht="160.5" x14ac:dyDescent="0.25">
      <c r="A80" s="56">
        <v>1</v>
      </c>
      <c r="B80" s="295" t="s">
        <v>891</v>
      </c>
      <c r="C80" s="296">
        <v>2</v>
      </c>
      <c r="D80" s="28" t="s">
        <v>24</v>
      </c>
      <c r="E80" s="292"/>
      <c r="F80" s="292"/>
      <c r="G80" s="292"/>
      <c r="H80" s="292"/>
      <c r="I80" s="292"/>
    </row>
    <row r="81" spans="1:9" ht="31.5" x14ac:dyDescent="0.25">
      <c r="A81" s="11">
        <f t="shared" ref="A81:A91" si="7">A80+1</f>
        <v>2</v>
      </c>
      <c r="B81" s="293" t="s">
        <v>226</v>
      </c>
      <c r="C81" s="294">
        <v>8</v>
      </c>
      <c r="D81" s="98" t="s">
        <v>24</v>
      </c>
      <c r="E81" s="292"/>
      <c r="F81" s="292"/>
      <c r="G81" s="292"/>
      <c r="H81" s="292"/>
      <c r="I81" s="292"/>
    </row>
    <row r="82" spans="1:9" ht="31.5" x14ac:dyDescent="0.25">
      <c r="A82" s="11">
        <f t="shared" si="7"/>
        <v>3</v>
      </c>
      <c r="B82" s="293" t="s">
        <v>227</v>
      </c>
      <c r="C82" s="294">
        <v>2</v>
      </c>
      <c r="D82" s="98" t="s">
        <v>24</v>
      </c>
      <c r="E82" s="292"/>
      <c r="F82" s="292"/>
      <c r="G82" s="292"/>
      <c r="H82" s="292"/>
      <c r="I82" s="292"/>
    </row>
    <row r="83" spans="1:9" ht="31.5" x14ac:dyDescent="0.25">
      <c r="A83" s="11">
        <f t="shared" si="7"/>
        <v>4</v>
      </c>
      <c r="B83" s="293" t="s">
        <v>228</v>
      </c>
      <c r="C83" s="294">
        <v>1</v>
      </c>
      <c r="D83" s="98" t="s">
        <v>24</v>
      </c>
      <c r="E83" s="292"/>
      <c r="F83" s="292"/>
      <c r="G83" s="292"/>
      <c r="H83" s="292"/>
      <c r="I83" s="292"/>
    </row>
    <row r="84" spans="1:9" ht="31.5" x14ac:dyDescent="0.25">
      <c r="A84" s="11">
        <f t="shared" si="7"/>
        <v>5</v>
      </c>
      <c r="B84" s="293" t="s">
        <v>229</v>
      </c>
      <c r="C84" s="294">
        <v>6</v>
      </c>
      <c r="D84" s="98" t="s">
        <v>24</v>
      </c>
      <c r="E84" s="292"/>
      <c r="F84" s="292"/>
      <c r="G84" s="292"/>
      <c r="H84" s="292"/>
      <c r="I84" s="292"/>
    </row>
    <row r="85" spans="1:9" ht="31.5" x14ac:dyDescent="0.25">
      <c r="A85" s="11">
        <f t="shared" si="7"/>
        <v>6</v>
      </c>
      <c r="B85" s="293" t="s">
        <v>230</v>
      </c>
      <c r="C85" s="294">
        <v>3</v>
      </c>
      <c r="D85" s="98" t="s">
        <v>24</v>
      </c>
      <c r="E85" s="292"/>
      <c r="F85" s="292"/>
      <c r="G85" s="292"/>
      <c r="H85" s="292"/>
      <c r="I85" s="292"/>
    </row>
    <row r="86" spans="1:9" ht="31.5" x14ac:dyDescent="0.25">
      <c r="A86" s="11">
        <f t="shared" si="7"/>
        <v>7</v>
      </c>
      <c r="B86" s="293" t="s">
        <v>231</v>
      </c>
      <c r="C86" s="294">
        <v>2</v>
      </c>
      <c r="D86" s="98" t="s">
        <v>24</v>
      </c>
      <c r="E86" s="292"/>
      <c r="F86" s="292"/>
      <c r="G86" s="292"/>
      <c r="H86" s="292"/>
      <c r="I86" s="292"/>
    </row>
    <row r="87" spans="1:9" ht="83.25" x14ac:dyDescent="0.25">
      <c r="A87" s="11">
        <f t="shared" si="7"/>
        <v>8</v>
      </c>
      <c r="B87" s="293" t="s">
        <v>892</v>
      </c>
      <c r="C87" s="294">
        <v>2</v>
      </c>
      <c r="D87" s="98" t="s">
        <v>24</v>
      </c>
      <c r="E87" s="292"/>
      <c r="F87" s="292"/>
      <c r="G87" s="292"/>
      <c r="H87" s="292"/>
      <c r="I87" s="292"/>
    </row>
    <row r="88" spans="1:9" ht="83.25" x14ac:dyDescent="0.25">
      <c r="A88" s="11">
        <f t="shared" si="7"/>
        <v>9</v>
      </c>
      <c r="B88" s="293" t="s">
        <v>893</v>
      </c>
      <c r="C88" s="294">
        <v>2</v>
      </c>
      <c r="D88" s="98" t="s">
        <v>24</v>
      </c>
      <c r="E88" s="292"/>
      <c r="F88" s="292"/>
      <c r="G88" s="292"/>
      <c r="H88" s="292"/>
      <c r="I88" s="292"/>
    </row>
    <row r="89" spans="1:9" x14ac:dyDescent="0.25">
      <c r="A89" s="11">
        <f t="shared" si="7"/>
        <v>10</v>
      </c>
      <c r="B89" s="293" t="s">
        <v>232</v>
      </c>
      <c r="C89" s="294">
        <v>1</v>
      </c>
      <c r="D89" s="98" t="s">
        <v>24</v>
      </c>
      <c r="E89" s="292"/>
      <c r="F89" s="292"/>
      <c r="G89" s="292"/>
      <c r="H89" s="292"/>
      <c r="I89" s="292"/>
    </row>
    <row r="90" spans="1:9" x14ac:dyDescent="0.25">
      <c r="A90" s="11">
        <f t="shared" si="7"/>
        <v>11</v>
      </c>
      <c r="B90" s="293" t="s">
        <v>233</v>
      </c>
      <c r="C90" s="294">
        <v>2</v>
      </c>
      <c r="D90" s="98" t="s">
        <v>24</v>
      </c>
      <c r="E90" s="292"/>
      <c r="F90" s="292"/>
      <c r="G90" s="292"/>
      <c r="H90" s="292"/>
      <c r="I90" s="292"/>
    </row>
    <row r="91" spans="1:9" ht="48" thickBot="1" x14ac:dyDescent="0.3">
      <c r="A91" s="11">
        <f t="shared" si="7"/>
        <v>12</v>
      </c>
      <c r="B91" s="293" t="s">
        <v>894</v>
      </c>
      <c r="C91" s="294">
        <v>6</v>
      </c>
      <c r="D91" s="98" t="s">
        <v>24</v>
      </c>
      <c r="E91" s="292"/>
      <c r="F91" s="292"/>
      <c r="G91" s="292"/>
      <c r="H91" s="292"/>
      <c r="I91" s="292"/>
    </row>
    <row r="92" spans="1:9" ht="16.5" thickBot="1" x14ac:dyDescent="0.3">
      <c r="A92" s="412" t="s">
        <v>234</v>
      </c>
      <c r="B92" s="413"/>
      <c r="C92" s="413"/>
      <c r="D92" s="414"/>
      <c r="E92" s="283"/>
      <c r="F92" s="284"/>
      <c r="G92" s="284"/>
      <c r="H92" s="285"/>
      <c r="I92" s="286"/>
    </row>
    <row r="93" spans="1:9" ht="50.25" x14ac:dyDescent="0.25">
      <c r="A93" s="56">
        <v>1</v>
      </c>
      <c r="B93" s="27" t="s">
        <v>895</v>
      </c>
      <c r="C93" s="296">
        <v>30.2</v>
      </c>
      <c r="D93" s="28" t="s">
        <v>196</v>
      </c>
      <c r="E93" s="292"/>
      <c r="F93" s="292"/>
      <c r="G93" s="292"/>
      <c r="H93" s="292"/>
      <c r="I93" s="292"/>
    </row>
    <row r="94" spans="1:9" ht="47.25" x14ac:dyDescent="0.25">
      <c r="A94" s="11">
        <f t="shared" ref="A94:A95" si="8">A93+1</f>
        <v>2</v>
      </c>
      <c r="B94" s="65" t="s">
        <v>896</v>
      </c>
      <c r="C94" s="294">
        <v>53.6</v>
      </c>
      <c r="D94" s="98" t="s">
        <v>196</v>
      </c>
      <c r="E94" s="292"/>
      <c r="F94" s="292"/>
      <c r="G94" s="292"/>
      <c r="H94" s="292"/>
      <c r="I94" s="292"/>
    </row>
    <row r="95" spans="1:9" ht="63" x14ac:dyDescent="0.25">
      <c r="A95" s="11">
        <f t="shared" si="8"/>
        <v>3</v>
      </c>
      <c r="B95" s="65" t="s">
        <v>897</v>
      </c>
      <c r="C95" s="294">
        <v>2</v>
      </c>
      <c r="D95" s="98" t="s">
        <v>24</v>
      </c>
      <c r="E95" s="292"/>
      <c r="F95" s="292"/>
      <c r="G95" s="292"/>
      <c r="H95" s="292"/>
      <c r="I95" s="292"/>
    </row>
    <row r="96" spans="1:9" ht="16.5" thickBot="1" x14ac:dyDescent="0.3">
      <c r="A96" s="419" t="s">
        <v>235</v>
      </c>
      <c r="B96" s="420"/>
      <c r="C96" s="420"/>
      <c r="D96" s="421"/>
      <c r="E96" s="304"/>
      <c r="F96" s="305"/>
      <c r="G96" s="305"/>
      <c r="H96" s="305"/>
      <c r="I96" s="306"/>
    </row>
    <row r="97" spans="1:9" x14ac:dyDescent="0.25">
      <c r="A97" s="56">
        <v>1</v>
      </c>
      <c r="B97" s="27" t="s">
        <v>898</v>
      </c>
      <c r="C97" s="296">
        <v>1</v>
      </c>
      <c r="D97" s="28" t="s">
        <v>24</v>
      </c>
      <c r="E97" s="307"/>
      <c r="F97" s="307"/>
      <c r="G97" s="307"/>
      <c r="H97" s="307"/>
      <c r="I97" s="307"/>
    </row>
    <row r="98" spans="1:9" x14ac:dyDescent="0.25">
      <c r="A98" s="11">
        <f t="shared" ref="A98:A103" si="9">A97+1</f>
        <v>2</v>
      </c>
      <c r="B98" s="293" t="s">
        <v>236</v>
      </c>
      <c r="C98" s="294">
        <v>19.3</v>
      </c>
      <c r="D98" s="98" t="s">
        <v>168</v>
      </c>
      <c r="E98" s="292"/>
      <c r="F98" s="292"/>
      <c r="G98" s="292"/>
      <c r="H98" s="292"/>
      <c r="I98" s="292"/>
    </row>
    <row r="99" spans="1:9" ht="31.5" x14ac:dyDescent="0.25">
      <c r="A99" s="11">
        <f t="shared" si="9"/>
        <v>3</v>
      </c>
      <c r="B99" s="293" t="s">
        <v>237</v>
      </c>
      <c r="C99" s="294">
        <v>2</v>
      </c>
      <c r="D99" s="98" t="s">
        <v>196</v>
      </c>
      <c r="E99" s="292"/>
      <c r="F99" s="292"/>
      <c r="G99" s="292"/>
      <c r="H99" s="292"/>
      <c r="I99" s="292"/>
    </row>
    <row r="100" spans="1:9" ht="31.5" x14ac:dyDescent="0.25">
      <c r="A100" s="11">
        <f t="shared" si="9"/>
        <v>4</v>
      </c>
      <c r="B100" s="293" t="s">
        <v>238</v>
      </c>
      <c r="C100" s="294">
        <v>7</v>
      </c>
      <c r="D100" s="98" t="s">
        <v>168</v>
      </c>
      <c r="E100" s="292"/>
      <c r="F100" s="292"/>
      <c r="G100" s="292"/>
      <c r="H100" s="292"/>
      <c r="I100" s="292"/>
    </row>
    <row r="101" spans="1:9" x14ac:dyDescent="0.25">
      <c r="A101" s="11">
        <f t="shared" si="9"/>
        <v>5</v>
      </c>
      <c r="B101" s="293" t="s">
        <v>239</v>
      </c>
      <c r="C101" s="294">
        <v>2</v>
      </c>
      <c r="D101" s="98" t="s">
        <v>24</v>
      </c>
      <c r="E101" s="292"/>
      <c r="F101" s="292"/>
      <c r="G101" s="292"/>
      <c r="H101" s="292"/>
      <c r="I101" s="292"/>
    </row>
    <row r="102" spans="1:9" ht="31.5" x14ac:dyDescent="0.25">
      <c r="A102" s="55">
        <f t="shared" si="9"/>
        <v>6</v>
      </c>
      <c r="B102" s="289" t="s">
        <v>240</v>
      </c>
      <c r="C102" s="290">
        <v>1</v>
      </c>
      <c r="D102" s="291" t="s">
        <v>24</v>
      </c>
      <c r="E102" s="292"/>
      <c r="F102" s="292"/>
      <c r="G102" s="292"/>
      <c r="H102" s="292"/>
      <c r="I102" s="292"/>
    </row>
    <row r="103" spans="1:9" ht="16.5" thickBot="1" x14ac:dyDescent="0.3">
      <c r="A103" s="11">
        <f t="shared" si="9"/>
        <v>7</v>
      </c>
      <c r="B103" s="293" t="s">
        <v>241</v>
      </c>
      <c r="C103" s="294">
        <v>2</v>
      </c>
      <c r="D103" s="98" t="s">
        <v>24</v>
      </c>
      <c r="E103" s="292"/>
      <c r="F103" s="292"/>
      <c r="G103" s="292"/>
      <c r="H103" s="292"/>
      <c r="I103" s="292"/>
    </row>
    <row r="104" spans="1:9" ht="16.5" thickBot="1" x14ac:dyDescent="0.3">
      <c r="A104" s="412" t="s">
        <v>242</v>
      </c>
      <c r="B104" s="413"/>
      <c r="C104" s="413"/>
      <c r="D104" s="414"/>
      <c r="E104" s="308"/>
      <c r="F104" s="285"/>
      <c r="G104" s="285"/>
      <c r="H104" s="285"/>
      <c r="I104" s="286"/>
    </row>
    <row r="105" spans="1:9" ht="63.75" thickBot="1" x14ac:dyDescent="0.3">
      <c r="A105" s="56">
        <v>1</v>
      </c>
      <c r="B105" s="295" t="s">
        <v>243</v>
      </c>
      <c r="C105" s="296">
        <v>1210</v>
      </c>
      <c r="D105" s="28" t="s">
        <v>114</v>
      </c>
      <c r="E105" s="307"/>
      <c r="F105" s="307"/>
      <c r="G105" s="307"/>
      <c r="H105" s="307"/>
      <c r="I105" s="307"/>
    </row>
    <row r="106" spans="1:9" ht="16.5" thickBot="1" x14ac:dyDescent="0.3">
      <c r="A106" s="412" t="s">
        <v>244</v>
      </c>
      <c r="B106" s="413"/>
      <c r="C106" s="413"/>
      <c r="D106" s="414"/>
      <c r="E106" s="308"/>
      <c r="F106" s="285"/>
      <c r="G106" s="285"/>
      <c r="H106" s="285"/>
      <c r="I106" s="286"/>
    </row>
    <row r="107" spans="1:9" ht="18.75" x14ac:dyDescent="0.25">
      <c r="A107" s="56">
        <v>1</v>
      </c>
      <c r="B107" s="295" t="s">
        <v>245</v>
      </c>
      <c r="C107" s="296">
        <v>100.8</v>
      </c>
      <c r="D107" s="28" t="s">
        <v>114</v>
      </c>
      <c r="E107" s="307"/>
      <c r="F107" s="307"/>
      <c r="G107" s="307"/>
      <c r="H107" s="307"/>
      <c r="I107" s="307"/>
    </row>
    <row r="108" spans="1:9" ht="18.75" x14ac:dyDescent="0.25">
      <c r="A108" s="11">
        <f t="shared" ref="A108:A117" si="10">A107+1</f>
        <v>2</v>
      </c>
      <c r="B108" s="293" t="s">
        <v>246</v>
      </c>
      <c r="C108" s="294">
        <f>(56.4+100.8)+(187.35)</f>
        <v>344.54999999999995</v>
      </c>
      <c r="D108" s="98" t="s">
        <v>114</v>
      </c>
      <c r="E108" s="292"/>
      <c r="F108" s="292"/>
      <c r="G108" s="292"/>
      <c r="H108" s="292"/>
      <c r="I108" s="292"/>
    </row>
    <row r="109" spans="1:9" ht="141.75" x14ac:dyDescent="0.25">
      <c r="A109" s="11">
        <f t="shared" si="10"/>
        <v>3</v>
      </c>
      <c r="B109" s="293" t="s">
        <v>899</v>
      </c>
      <c r="C109" s="294">
        <f>56.4</f>
        <v>56.4</v>
      </c>
      <c r="D109" s="98" t="s">
        <v>114</v>
      </c>
      <c r="E109" s="292"/>
      <c r="F109" s="292"/>
      <c r="G109" s="292"/>
      <c r="H109" s="292"/>
      <c r="I109" s="292"/>
    </row>
    <row r="110" spans="1:9" ht="47.25" x14ac:dyDescent="0.25">
      <c r="A110" s="11">
        <f t="shared" si="10"/>
        <v>4</v>
      </c>
      <c r="B110" s="293" t="s">
        <v>900</v>
      </c>
      <c r="C110" s="294">
        <f>100.8</f>
        <v>100.8</v>
      </c>
      <c r="D110" s="98" t="s">
        <v>114</v>
      </c>
      <c r="E110" s="292"/>
      <c r="F110" s="292"/>
      <c r="G110" s="292"/>
      <c r="H110" s="292"/>
      <c r="I110" s="292"/>
    </row>
    <row r="111" spans="1:9" ht="31.5" x14ac:dyDescent="0.25">
      <c r="A111" s="11">
        <f t="shared" si="10"/>
        <v>5</v>
      </c>
      <c r="B111" s="65" t="s">
        <v>901</v>
      </c>
      <c r="C111" s="294">
        <f>((0.9*2+1.5*2)+(4*2+1.5*2)+(0.9*2+1.5*2)+(2.3*2+3.3*2)+(1.2*2+2.5*2)+(4.5*2+2.65*2)+(0.9*2+1.5*2))*1+((4)+(4))+(0)+((1.85*2+1.65*2)+(1.5*2+1.5*2)+(0.9*2+0.9*2)+(0.9*2+0.9*2)+(1.35*2+0.9*2))*1+(4)+((1.35+6.05+1.35+7.59+11.88)+(4.9+3.57))</f>
        <v>131.69</v>
      </c>
      <c r="D111" s="98" t="s">
        <v>114</v>
      </c>
      <c r="E111" s="292"/>
      <c r="F111" s="292"/>
      <c r="G111" s="292"/>
      <c r="H111" s="292"/>
      <c r="I111" s="292"/>
    </row>
    <row r="112" spans="1:9" ht="31.5" x14ac:dyDescent="0.25">
      <c r="A112" s="11">
        <f t="shared" si="10"/>
        <v>6</v>
      </c>
      <c r="B112" s="65" t="s">
        <v>902</v>
      </c>
      <c r="C112" s="294">
        <f>230.27-(2*5.3*0.1)*26+((1.5*2+1.41)*6)</f>
        <v>229.17000000000002</v>
      </c>
      <c r="D112" s="98" t="s">
        <v>114</v>
      </c>
      <c r="E112" s="292"/>
      <c r="F112" s="292"/>
      <c r="G112" s="292"/>
      <c r="H112" s="292"/>
      <c r="I112" s="292"/>
    </row>
    <row r="113" spans="1:9" ht="31.5" x14ac:dyDescent="0.25">
      <c r="A113" s="11">
        <f t="shared" si="10"/>
        <v>7</v>
      </c>
      <c r="B113" s="65" t="s">
        <v>903</v>
      </c>
      <c r="C113" s="294">
        <f>(2*5.3*0.1)*26</f>
        <v>27.560000000000002</v>
      </c>
      <c r="D113" s="98" t="s">
        <v>114</v>
      </c>
      <c r="E113" s="292"/>
      <c r="F113" s="292"/>
      <c r="G113" s="292"/>
      <c r="H113" s="292"/>
      <c r="I113" s="292"/>
    </row>
    <row r="114" spans="1:9" ht="283.5" x14ac:dyDescent="0.25">
      <c r="A114" s="11">
        <f t="shared" si="10"/>
        <v>8</v>
      </c>
      <c r="B114" s="293" t="s">
        <v>904</v>
      </c>
      <c r="C114" s="294">
        <v>66.400000000000006</v>
      </c>
      <c r="D114" s="98" t="s">
        <v>114</v>
      </c>
      <c r="E114" s="292"/>
      <c r="F114" s="292"/>
      <c r="G114" s="292"/>
      <c r="H114" s="292"/>
      <c r="I114" s="292"/>
    </row>
    <row r="115" spans="1:9" ht="31.5" x14ac:dyDescent="0.25">
      <c r="A115" s="11">
        <f t="shared" si="10"/>
        <v>9</v>
      </c>
      <c r="B115" s="293" t="s">
        <v>905</v>
      </c>
      <c r="C115" s="294">
        <v>18.600000000000001</v>
      </c>
      <c r="D115" s="98" t="s">
        <v>114</v>
      </c>
      <c r="E115" s="292"/>
      <c r="F115" s="292"/>
      <c r="G115" s="292"/>
      <c r="H115" s="292"/>
      <c r="I115" s="292"/>
    </row>
    <row r="116" spans="1:9" x14ac:dyDescent="0.25">
      <c r="A116" s="11">
        <f t="shared" si="10"/>
        <v>10</v>
      </c>
      <c r="B116" s="293" t="s">
        <v>247</v>
      </c>
      <c r="C116" s="294">
        <v>50.5</v>
      </c>
      <c r="D116" s="98" t="s">
        <v>196</v>
      </c>
      <c r="E116" s="292"/>
      <c r="F116" s="292"/>
      <c r="G116" s="292"/>
      <c r="H116" s="292"/>
      <c r="I116" s="292"/>
    </row>
    <row r="117" spans="1:9" ht="31.5" x14ac:dyDescent="0.25">
      <c r="A117" s="11">
        <f t="shared" si="10"/>
        <v>11</v>
      </c>
      <c r="B117" s="293" t="s">
        <v>248</v>
      </c>
      <c r="C117" s="294">
        <v>8</v>
      </c>
      <c r="D117" s="98" t="s">
        <v>24</v>
      </c>
      <c r="E117" s="292"/>
      <c r="F117" s="292"/>
      <c r="G117" s="292"/>
      <c r="H117" s="292"/>
      <c r="I117" s="292"/>
    </row>
  </sheetData>
  <mergeCells count="27">
    <mergeCell ref="G1:I1"/>
    <mergeCell ref="A1:A2"/>
    <mergeCell ref="B1:B2"/>
    <mergeCell ref="C1:C2"/>
    <mergeCell ref="D1:D2"/>
    <mergeCell ref="E1:F1"/>
    <mergeCell ref="A104:D104"/>
    <mergeCell ref="A92:D92"/>
    <mergeCell ref="A96:D96"/>
    <mergeCell ref="A3:D3"/>
    <mergeCell ref="A4:D4"/>
    <mergeCell ref="A106:D106"/>
    <mergeCell ref="A5:D5"/>
    <mergeCell ref="A55:D55"/>
    <mergeCell ref="A50:D50"/>
    <mergeCell ref="A41:D41"/>
    <mergeCell ref="A36:D36"/>
    <mergeCell ref="A38:D38"/>
    <mergeCell ref="A32:D32"/>
    <mergeCell ref="A6:D6"/>
    <mergeCell ref="A12:D12"/>
    <mergeCell ref="A10:D10"/>
    <mergeCell ref="A7:D7"/>
    <mergeCell ref="A27:D27"/>
    <mergeCell ref="A79:D79"/>
    <mergeCell ref="A70:D70"/>
    <mergeCell ref="A63:D63"/>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3.1.1. Építészet-szerkezet&amp;R&amp;"Times New Roman,Normál"&amp;9Mennyiségi kiírás (IV. kötet)</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topLeftCell="A151" zoomScaleNormal="100" workbookViewId="0">
      <selection activeCell="A49" sqref="A4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140625" style="8"/>
  </cols>
  <sheetData>
    <row r="1" spans="1:10" ht="15.75" customHeight="1" x14ac:dyDescent="0.25">
      <c r="A1" s="373" t="s">
        <v>265</v>
      </c>
      <c r="B1" s="371" t="s">
        <v>262</v>
      </c>
      <c r="C1" s="371" t="s">
        <v>263</v>
      </c>
      <c r="D1" s="371" t="s">
        <v>264</v>
      </c>
      <c r="E1" s="371" t="s">
        <v>666</v>
      </c>
      <c r="F1" s="371"/>
      <c r="G1" s="371" t="s">
        <v>667</v>
      </c>
      <c r="H1" s="371"/>
      <c r="I1" s="372"/>
    </row>
    <row r="2" spans="1:10" ht="15.75" customHeight="1" thickBot="1" x14ac:dyDescent="0.3">
      <c r="A2" s="374"/>
      <c r="B2" s="375"/>
      <c r="C2" s="375"/>
      <c r="D2" s="375"/>
      <c r="E2" s="167" t="s">
        <v>668</v>
      </c>
      <c r="F2" s="167" t="s">
        <v>669</v>
      </c>
      <c r="G2" s="167" t="s">
        <v>668</v>
      </c>
      <c r="H2" s="167" t="s">
        <v>669</v>
      </c>
      <c r="I2" s="168" t="s">
        <v>670</v>
      </c>
    </row>
    <row r="3" spans="1:10" ht="15.75" x14ac:dyDescent="0.25">
      <c r="A3" s="422" t="s">
        <v>174</v>
      </c>
      <c r="B3" s="422"/>
      <c r="C3" s="422"/>
      <c r="D3" s="423"/>
      <c r="E3" s="309"/>
      <c r="F3" s="310"/>
      <c r="G3" s="310"/>
      <c r="H3" s="310"/>
      <c r="I3" s="311"/>
    </row>
    <row r="4" spans="1:10" ht="15.75" x14ac:dyDescent="0.25">
      <c r="A4" s="415" t="s">
        <v>251</v>
      </c>
      <c r="B4" s="415"/>
      <c r="C4" s="415"/>
      <c r="D4" s="416"/>
      <c r="E4" s="309"/>
      <c r="F4" s="310"/>
      <c r="G4" s="310"/>
      <c r="H4" s="310"/>
      <c r="I4" s="311"/>
    </row>
    <row r="5" spans="1:10" ht="16.5" thickBot="1" x14ac:dyDescent="0.3">
      <c r="A5" s="415" t="s">
        <v>250</v>
      </c>
      <c r="B5" s="415"/>
      <c r="C5" s="415"/>
      <c r="D5" s="416"/>
      <c r="E5" s="309"/>
      <c r="F5" s="310"/>
      <c r="G5" s="310"/>
      <c r="H5" s="310"/>
      <c r="I5" s="311"/>
    </row>
    <row r="6" spans="1:10" ht="16.5" thickBot="1" x14ac:dyDescent="0.3">
      <c r="A6" s="366" t="s">
        <v>357</v>
      </c>
      <c r="B6" s="367"/>
      <c r="C6" s="367"/>
      <c r="D6" s="367"/>
      <c r="E6" s="312"/>
      <c r="F6" s="313"/>
      <c r="G6" s="313"/>
      <c r="H6" s="313"/>
      <c r="I6" s="314"/>
    </row>
    <row r="7" spans="1:10" ht="78.75" x14ac:dyDescent="0.25">
      <c r="A7" s="56">
        <v>1</v>
      </c>
      <c r="B7" s="295" t="s">
        <v>915</v>
      </c>
      <c r="C7" s="296">
        <v>148</v>
      </c>
      <c r="D7" s="315" t="s">
        <v>23</v>
      </c>
      <c r="E7" s="179"/>
      <c r="F7" s="179"/>
      <c r="G7" s="179"/>
      <c r="H7" s="179"/>
      <c r="I7" s="179"/>
      <c r="J7" s="166"/>
    </row>
    <row r="8" spans="1:10" ht="15.75" x14ac:dyDescent="0.25">
      <c r="A8" s="11">
        <v>2</v>
      </c>
      <c r="B8" s="293" t="s">
        <v>358</v>
      </c>
      <c r="C8" s="294">
        <v>68</v>
      </c>
      <c r="D8" s="65" t="s">
        <v>23</v>
      </c>
      <c r="E8" s="179"/>
      <c r="F8" s="179"/>
      <c r="G8" s="179"/>
      <c r="H8" s="179"/>
      <c r="I8" s="179"/>
    </row>
    <row r="9" spans="1:10" ht="15.75" x14ac:dyDescent="0.25">
      <c r="A9" s="11">
        <v>3</v>
      </c>
      <c r="B9" s="293" t="s">
        <v>359</v>
      </c>
      <c r="C9" s="294">
        <v>31</v>
      </c>
      <c r="D9" s="65"/>
      <c r="E9" s="179"/>
      <c r="F9" s="179"/>
      <c r="G9" s="179"/>
      <c r="H9" s="179"/>
      <c r="I9" s="179"/>
    </row>
    <row r="10" spans="1:10" ht="15.75" customHeight="1" x14ac:dyDescent="0.25">
      <c r="A10" s="11">
        <v>4</v>
      </c>
      <c r="B10" s="293" t="s">
        <v>360</v>
      </c>
      <c r="C10" s="294">
        <v>37</v>
      </c>
      <c r="D10" s="65"/>
      <c r="E10" s="179"/>
      <c r="F10" s="179"/>
      <c r="G10" s="179"/>
      <c r="H10" s="179"/>
      <c r="I10" s="179"/>
    </row>
    <row r="11" spans="1:10" ht="15.75" x14ac:dyDescent="0.25">
      <c r="A11" s="11">
        <v>5</v>
      </c>
      <c r="B11" s="293" t="s">
        <v>361</v>
      </c>
      <c r="C11" s="294">
        <v>7</v>
      </c>
      <c r="D11" s="65"/>
      <c r="E11" s="179"/>
      <c r="F11" s="179"/>
      <c r="G11" s="179"/>
      <c r="H11" s="179"/>
      <c r="I11" s="179"/>
    </row>
    <row r="12" spans="1:10" ht="15.75" x14ac:dyDescent="0.25">
      <c r="A12" s="11">
        <v>6</v>
      </c>
      <c r="B12" s="293" t="s">
        <v>362</v>
      </c>
      <c r="C12" s="294">
        <v>3</v>
      </c>
      <c r="D12" s="65"/>
      <c r="E12" s="179"/>
      <c r="F12" s="179"/>
      <c r="G12" s="179"/>
      <c r="H12" s="179"/>
      <c r="I12" s="179"/>
    </row>
    <row r="13" spans="1:10" ht="31.5" x14ac:dyDescent="0.25">
      <c r="A13" s="11">
        <v>7</v>
      </c>
      <c r="B13" s="293" t="s">
        <v>916</v>
      </c>
      <c r="C13" s="294">
        <v>1</v>
      </c>
      <c r="D13" s="65" t="s">
        <v>24</v>
      </c>
      <c r="E13" s="179"/>
      <c r="F13" s="179"/>
      <c r="G13" s="179"/>
      <c r="H13" s="179"/>
      <c r="I13" s="179"/>
    </row>
    <row r="14" spans="1:10" ht="47.25" x14ac:dyDescent="0.25">
      <c r="A14" s="11">
        <v>8</v>
      </c>
      <c r="B14" s="293" t="s">
        <v>378</v>
      </c>
      <c r="C14" s="294">
        <v>15</v>
      </c>
      <c r="D14" s="65" t="s">
        <v>23</v>
      </c>
      <c r="E14" s="179"/>
      <c r="F14" s="179"/>
      <c r="G14" s="179"/>
      <c r="H14" s="179"/>
      <c r="I14" s="179"/>
    </row>
    <row r="15" spans="1:10" ht="31.5" x14ac:dyDescent="0.25">
      <c r="A15" s="11">
        <v>9</v>
      </c>
      <c r="B15" s="293" t="s">
        <v>379</v>
      </c>
      <c r="C15" s="294">
        <v>26</v>
      </c>
      <c r="D15" s="65" t="s">
        <v>23</v>
      </c>
      <c r="E15" s="179"/>
      <c r="F15" s="179"/>
      <c r="G15" s="179"/>
      <c r="H15" s="179"/>
      <c r="I15" s="179"/>
    </row>
    <row r="16" spans="1:10" ht="15.75" x14ac:dyDescent="0.25">
      <c r="A16" s="11">
        <v>10</v>
      </c>
      <c r="B16" s="293" t="s">
        <v>380</v>
      </c>
      <c r="C16" s="294">
        <v>39</v>
      </c>
      <c r="D16" s="65" t="s">
        <v>23</v>
      </c>
      <c r="E16" s="179"/>
      <c r="F16" s="179"/>
      <c r="G16" s="179"/>
      <c r="H16" s="179"/>
      <c r="I16" s="179"/>
    </row>
    <row r="17" spans="1:9" ht="15.75" x14ac:dyDescent="0.25">
      <c r="A17" s="11">
        <v>11</v>
      </c>
      <c r="B17" s="293" t="s">
        <v>381</v>
      </c>
      <c r="C17" s="294">
        <v>56</v>
      </c>
      <c r="D17" s="65" t="s">
        <v>23</v>
      </c>
      <c r="E17" s="179"/>
      <c r="F17" s="179"/>
      <c r="G17" s="179"/>
      <c r="H17" s="179"/>
      <c r="I17" s="179"/>
    </row>
    <row r="18" spans="1:9" ht="15.75" x14ac:dyDescent="0.25">
      <c r="A18" s="11">
        <v>12</v>
      </c>
      <c r="B18" s="293" t="s">
        <v>382</v>
      </c>
      <c r="C18" s="294">
        <v>32</v>
      </c>
      <c r="D18" s="65" t="s">
        <v>23</v>
      </c>
      <c r="E18" s="179"/>
      <c r="F18" s="179"/>
      <c r="G18" s="179"/>
      <c r="H18" s="179"/>
      <c r="I18" s="179"/>
    </row>
    <row r="19" spans="1:9" ht="15.75" x14ac:dyDescent="0.25">
      <c r="A19" s="11">
        <v>13</v>
      </c>
      <c r="B19" s="293" t="s">
        <v>383</v>
      </c>
      <c r="C19" s="294">
        <v>3</v>
      </c>
      <c r="D19" s="65"/>
      <c r="E19" s="179"/>
      <c r="F19" s="179"/>
      <c r="G19" s="179"/>
      <c r="H19" s="179"/>
      <c r="I19" s="179"/>
    </row>
    <row r="20" spans="1:9" ht="157.5" x14ac:dyDescent="0.25">
      <c r="A20" s="11">
        <v>14</v>
      </c>
      <c r="B20" s="293" t="s">
        <v>917</v>
      </c>
      <c r="C20" s="294">
        <v>3</v>
      </c>
      <c r="D20" s="65" t="s">
        <v>24</v>
      </c>
      <c r="E20" s="179"/>
      <c r="F20" s="179"/>
      <c r="G20" s="179"/>
      <c r="H20" s="179"/>
      <c r="I20" s="179"/>
    </row>
    <row r="21" spans="1:9" ht="110.25" x14ac:dyDescent="0.25">
      <c r="A21" s="11">
        <v>15</v>
      </c>
      <c r="B21" s="293" t="s">
        <v>918</v>
      </c>
      <c r="C21" s="294">
        <v>1</v>
      </c>
      <c r="D21" s="65" t="s">
        <v>13</v>
      </c>
      <c r="E21" s="179"/>
      <c r="F21" s="179"/>
      <c r="G21" s="179"/>
      <c r="H21" s="179"/>
      <c r="I21" s="179"/>
    </row>
    <row r="22" spans="1:9" ht="31.5" x14ac:dyDescent="0.25">
      <c r="A22" s="11">
        <v>16</v>
      </c>
      <c r="B22" s="293" t="s">
        <v>363</v>
      </c>
      <c r="C22" s="294">
        <v>2</v>
      </c>
      <c r="D22" s="65" t="s">
        <v>13</v>
      </c>
      <c r="E22" s="179"/>
      <c r="F22" s="179"/>
      <c r="G22" s="179"/>
      <c r="H22" s="179"/>
      <c r="I22" s="179"/>
    </row>
    <row r="23" spans="1:9" ht="94.5" x14ac:dyDescent="0.25">
      <c r="A23" s="11">
        <v>17</v>
      </c>
      <c r="B23" s="293" t="s">
        <v>919</v>
      </c>
      <c r="C23" s="294">
        <v>3</v>
      </c>
      <c r="D23" s="65" t="s">
        <v>364</v>
      </c>
      <c r="E23" s="179"/>
      <c r="F23" s="179"/>
      <c r="G23" s="179"/>
      <c r="H23" s="179"/>
      <c r="I23" s="179"/>
    </row>
    <row r="24" spans="1:9" ht="78.75" x14ac:dyDescent="0.25">
      <c r="A24" s="11">
        <v>18</v>
      </c>
      <c r="B24" s="293" t="s">
        <v>365</v>
      </c>
      <c r="C24" s="294">
        <v>6</v>
      </c>
      <c r="D24" s="65" t="s">
        <v>24</v>
      </c>
      <c r="E24" s="179"/>
      <c r="F24" s="179"/>
      <c r="G24" s="179"/>
      <c r="H24" s="179"/>
      <c r="I24" s="179"/>
    </row>
    <row r="25" spans="1:9" ht="210.75" customHeight="1" x14ac:dyDescent="0.25">
      <c r="A25" s="11">
        <v>19</v>
      </c>
      <c r="B25" s="293" t="s">
        <v>384</v>
      </c>
      <c r="C25" s="294">
        <v>2</v>
      </c>
      <c r="D25" s="65" t="s">
        <v>24</v>
      </c>
      <c r="E25" s="179"/>
      <c r="F25" s="179"/>
      <c r="G25" s="179"/>
      <c r="H25" s="179"/>
      <c r="I25" s="179"/>
    </row>
    <row r="26" spans="1:9" ht="146.25" customHeight="1" x14ac:dyDescent="0.25">
      <c r="A26" s="11">
        <v>20</v>
      </c>
      <c r="B26" s="293" t="s">
        <v>921</v>
      </c>
      <c r="C26" s="294">
        <v>2</v>
      </c>
      <c r="D26" s="65" t="s">
        <v>24</v>
      </c>
      <c r="E26" s="179"/>
      <c r="F26" s="179"/>
      <c r="G26" s="179"/>
      <c r="H26" s="179"/>
      <c r="I26" s="179"/>
    </row>
    <row r="27" spans="1:9" ht="94.5" x14ac:dyDescent="0.25">
      <c r="A27" s="11">
        <v>21</v>
      </c>
      <c r="B27" s="293" t="s">
        <v>920</v>
      </c>
      <c r="C27" s="294">
        <v>7</v>
      </c>
      <c r="D27" s="65" t="s">
        <v>24</v>
      </c>
      <c r="E27" s="179"/>
      <c r="F27" s="179"/>
      <c r="G27" s="179"/>
      <c r="H27" s="179"/>
      <c r="I27" s="179"/>
    </row>
    <row r="28" spans="1:9" ht="47.25" x14ac:dyDescent="0.25">
      <c r="A28" s="11">
        <v>22</v>
      </c>
      <c r="B28" s="293" t="s">
        <v>385</v>
      </c>
      <c r="C28" s="294">
        <v>1</v>
      </c>
      <c r="D28" s="65" t="s">
        <v>24</v>
      </c>
      <c r="E28" s="179"/>
      <c r="F28" s="179"/>
      <c r="G28" s="179"/>
      <c r="H28" s="179"/>
      <c r="I28" s="179"/>
    </row>
    <row r="29" spans="1:9" ht="47.25" x14ac:dyDescent="0.25">
      <c r="A29" s="11">
        <v>23</v>
      </c>
      <c r="B29" s="293" t="s">
        <v>366</v>
      </c>
      <c r="C29" s="294">
        <v>1</v>
      </c>
      <c r="D29" s="65" t="s">
        <v>24</v>
      </c>
      <c r="E29" s="179"/>
      <c r="F29" s="179"/>
      <c r="G29" s="179"/>
      <c r="H29" s="179"/>
      <c r="I29" s="179"/>
    </row>
    <row r="30" spans="1:9" ht="31.5" x14ac:dyDescent="0.25">
      <c r="A30" s="11">
        <v>24</v>
      </c>
      <c r="B30" s="65" t="s">
        <v>922</v>
      </c>
      <c r="C30" s="294">
        <v>6</v>
      </c>
      <c r="D30" s="65" t="s">
        <v>24</v>
      </c>
      <c r="E30" s="179"/>
      <c r="F30" s="179"/>
      <c r="G30" s="179"/>
      <c r="H30" s="179"/>
      <c r="I30" s="179"/>
    </row>
    <row r="31" spans="1:9" ht="63" x14ac:dyDescent="0.25">
      <c r="A31" s="11">
        <v>25</v>
      </c>
      <c r="B31" s="65" t="s">
        <v>927</v>
      </c>
      <c r="C31" s="294">
        <v>1</v>
      </c>
      <c r="D31" s="65" t="s">
        <v>24</v>
      </c>
      <c r="E31" s="179"/>
      <c r="F31" s="179"/>
      <c r="G31" s="179"/>
      <c r="H31" s="179"/>
      <c r="I31" s="179"/>
    </row>
    <row r="32" spans="1:9" ht="47.25" x14ac:dyDescent="0.25">
      <c r="A32" s="11">
        <v>26</v>
      </c>
      <c r="B32" s="293" t="s">
        <v>388</v>
      </c>
      <c r="C32" s="294">
        <v>1</v>
      </c>
      <c r="D32" s="65" t="s">
        <v>24</v>
      </c>
      <c r="E32" s="179"/>
      <c r="F32" s="179"/>
      <c r="G32" s="179"/>
      <c r="H32" s="179"/>
      <c r="I32" s="179"/>
    </row>
    <row r="33" spans="1:9" ht="47.25" x14ac:dyDescent="0.25">
      <c r="A33" s="11">
        <v>27</v>
      </c>
      <c r="B33" s="293" t="s">
        <v>387</v>
      </c>
      <c r="C33" s="294">
        <v>1</v>
      </c>
      <c r="D33" s="65" t="s">
        <v>24</v>
      </c>
      <c r="E33" s="179"/>
      <c r="F33" s="179"/>
      <c r="G33" s="179"/>
      <c r="H33" s="179"/>
      <c r="I33" s="179"/>
    </row>
    <row r="34" spans="1:9" ht="31.5" x14ac:dyDescent="0.25">
      <c r="A34" s="11">
        <v>28</v>
      </c>
      <c r="B34" s="293" t="s">
        <v>386</v>
      </c>
      <c r="C34" s="294">
        <v>1</v>
      </c>
      <c r="D34" s="65" t="s">
        <v>24</v>
      </c>
      <c r="E34" s="179"/>
      <c r="F34" s="179"/>
      <c r="G34" s="179"/>
      <c r="H34" s="179"/>
      <c r="I34" s="179"/>
    </row>
    <row r="35" spans="1:9" ht="15.75" x14ac:dyDescent="0.25">
      <c r="A35" s="11">
        <v>29</v>
      </c>
      <c r="B35" s="293" t="s">
        <v>367</v>
      </c>
      <c r="C35" s="294">
        <v>1</v>
      </c>
      <c r="D35" s="65" t="s">
        <v>24</v>
      </c>
      <c r="E35" s="179"/>
      <c r="F35" s="179"/>
      <c r="G35" s="179"/>
      <c r="H35" s="179"/>
      <c r="I35" s="179"/>
    </row>
    <row r="36" spans="1:9" ht="31.5" x14ac:dyDescent="0.25">
      <c r="A36" s="11">
        <v>30</v>
      </c>
      <c r="B36" s="293" t="s">
        <v>389</v>
      </c>
      <c r="C36" s="294">
        <v>1</v>
      </c>
      <c r="D36" s="65" t="s">
        <v>24</v>
      </c>
      <c r="E36" s="179"/>
      <c r="F36" s="179"/>
      <c r="G36" s="179"/>
      <c r="H36" s="179"/>
      <c r="I36" s="179"/>
    </row>
    <row r="37" spans="1:9" ht="31.5" x14ac:dyDescent="0.25">
      <c r="A37" s="11">
        <v>31</v>
      </c>
      <c r="B37" s="293" t="s">
        <v>368</v>
      </c>
      <c r="C37" s="294">
        <v>1</v>
      </c>
      <c r="D37" s="65" t="s">
        <v>24</v>
      </c>
      <c r="E37" s="179"/>
      <c r="F37" s="179"/>
      <c r="G37" s="179"/>
      <c r="H37" s="179"/>
      <c r="I37" s="179"/>
    </row>
    <row r="38" spans="1:9" ht="94.5" x14ac:dyDescent="0.25">
      <c r="A38" s="11">
        <v>32</v>
      </c>
      <c r="B38" s="293" t="s">
        <v>928</v>
      </c>
      <c r="C38" s="294">
        <v>1</v>
      </c>
      <c r="D38" s="65" t="s">
        <v>24</v>
      </c>
      <c r="E38" s="179"/>
      <c r="F38" s="179"/>
      <c r="G38" s="179"/>
      <c r="H38" s="179"/>
      <c r="I38" s="179"/>
    </row>
    <row r="39" spans="1:9" ht="15.75" x14ac:dyDescent="0.25">
      <c r="A39" s="11">
        <v>33</v>
      </c>
      <c r="B39" s="65" t="s">
        <v>923</v>
      </c>
      <c r="C39" s="294">
        <v>8</v>
      </c>
      <c r="D39" s="65" t="s">
        <v>24</v>
      </c>
      <c r="E39" s="179"/>
      <c r="F39" s="179"/>
      <c r="G39" s="179"/>
      <c r="H39" s="179"/>
      <c r="I39" s="179"/>
    </row>
    <row r="40" spans="1:9" ht="15.75" x14ac:dyDescent="0.25">
      <c r="A40" s="11">
        <v>34</v>
      </c>
      <c r="B40" s="65" t="s">
        <v>924</v>
      </c>
      <c r="C40" s="294">
        <v>2</v>
      </c>
      <c r="D40" s="65" t="s">
        <v>24</v>
      </c>
      <c r="E40" s="179"/>
      <c r="F40" s="179"/>
      <c r="G40" s="179"/>
      <c r="H40" s="179"/>
      <c r="I40" s="179"/>
    </row>
    <row r="41" spans="1:9" ht="15.75" x14ac:dyDescent="0.25">
      <c r="A41" s="11">
        <v>35</v>
      </c>
      <c r="B41" s="65" t="s">
        <v>925</v>
      </c>
      <c r="C41" s="294">
        <v>2</v>
      </c>
      <c r="D41" s="65" t="s">
        <v>24</v>
      </c>
      <c r="E41" s="179"/>
      <c r="F41" s="179"/>
      <c r="G41" s="179"/>
      <c r="H41" s="179"/>
      <c r="I41" s="179"/>
    </row>
    <row r="42" spans="1:9" ht="15.75" x14ac:dyDescent="0.25">
      <c r="A42" s="11">
        <v>36</v>
      </c>
      <c r="B42" s="293" t="s">
        <v>390</v>
      </c>
      <c r="C42" s="294">
        <v>1</v>
      </c>
      <c r="D42" s="65" t="s">
        <v>24</v>
      </c>
      <c r="E42" s="179"/>
      <c r="F42" s="179"/>
      <c r="G42" s="179"/>
      <c r="H42" s="179"/>
      <c r="I42" s="179"/>
    </row>
    <row r="43" spans="1:9" ht="15.75" x14ac:dyDescent="0.25">
      <c r="A43" s="11">
        <v>37</v>
      </c>
      <c r="B43" s="65" t="s">
        <v>926</v>
      </c>
      <c r="C43" s="294">
        <v>4</v>
      </c>
      <c r="D43" s="65" t="s">
        <v>24</v>
      </c>
      <c r="E43" s="179"/>
      <c r="F43" s="179"/>
      <c r="G43" s="179"/>
      <c r="H43" s="179"/>
      <c r="I43" s="179"/>
    </row>
    <row r="44" spans="1:9" ht="15.75" x14ac:dyDescent="0.25">
      <c r="A44" s="11">
        <v>38</v>
      </c>
      <c r="B44" s="293" t="s">
        <v>391</v>
      </c>
      <c r="C44" s="294">
        <v>4</v>
      </c>
      <c r="D44" s="65" t="s">
        <v>24</v>
      </c>
      <c r="E44" s="179"/>
      <c r="F44" s="179"/>
      <c r="G44" s="179"/>
      <c r="H44" s="179"/>
      <c r="I44" s="179"/>
    </row>
    <row r="45" spans="1:9" ht="15.75" x14ac:dyDescent="0.25">
      <c r="A45" s="11">
        <v>39</v>
      </c>
      <c r="B45" s="293" t="s">
        <v>392</v>
      </c>
      <c r="C45" s="294">
        <v>8</v>
      </c>
      <c r="D45" s="65" t="s">
        <v>24</v>
      </c>
      <c r="E45" s="179"/>
      <c r="F45" s="179"/>
      <c r="G45" s="179"/>
      <c r="H45" s="179"/>
      <c r="I45" s="179"/>
    </row>
    <row r="46" spans="1:9" ht="15.75" x14ac:dyDescent="0.25">
      <c r="A46" s="11">
        <v>40</v>
      </c>
      <c r="B46" s="293" t="s">
        <v>393</v>
      </c>
      <c r="C46" s="294">
        <v>1</v>
      </c>
      <c r="D46" s="65" t="s">
        <v>24</v>
      </c>
      <c r="E46" s="179"/>
      <c r="F46" s="179"/>
      <c r="G46" s="179"/>
      <c r="H46" s="179"/>
      <c r="I46" s="179"/>
    </row>
    <row r="47" spans="1:9" ht="15.75" x14ac:dyDescent="0.25">
      <c r="A47" s="11">
        <v>41</v>
      </c>
      <c r="B47" s="293" t="s">
        <v>369</v>
      </c>
      <c r="C47" s="294">
        <v>1</v>
      </c>
      <c r="D47" s="65" t="s">
        <v>24</v>
      </c>
      <c r="E47" s="179"/>
      <c r="F47" s="179"/>
      <c r="G47" s="179"/>
      <c r="H47" s="179"/>
      <c r="I47" s="179"/>
    </row>
    <row r="48" spans="1:9" ht="15.75" x14ac:dyDescent="0.25">
      <c r="A48" s="11">
        <v>42</v>
      </c>
      <c r="B48" s="293" t="s">
        <v>370</v>
      </c>
      <c r="C48" s="294">
        <v>1</v>
      </c>
      <c r="D48" s="65" t="s">
        <v>24</v>
      </c>
      <c r="E48" s="179"/>
      <c r="F48" s="179"/>
      <c r="G48" s="179"/>
      <c r="H48" s="179"/>
      <c r="I48" s="179"/>
    </row>
    <row r="49" spans="1:9" ht="47.25" x14ac:dyDescent="0.25">
      <c r="A49" s="11">
        <v>43</v>
      </c>
      <c r="B49" s="293" t="s">
        <v>371</v>
      </c>
      <c r="C49" s="294">
        <v>1</v>
      </c>
      <c r="D49" s="65" t="s">
        <v>24</v>
      </c>
      <c r="E49" s="179"/>
      <c r="F49" s="179"/>
      <c r="G49" s="179"/>
      <c r="H49" s="179"/>
      <c r="I49" s="179"/>
    </row>
    <row r="50" spans="1:9" ht="97.5" x14ac:dyDescent="0.25">
      <c r="A50" s="11">
        <v>44</v>
      </c>
      <c r="B50" s="65" t="s">
        <v>929</v>
      </c>
      <c r="C50" s="294">
        <v>1</v>
      </c>
      <c r="D50" s="65" t="s">
        <v>24</v>
      </c>
      <c r="E50" s="179"/>
      <c r="F50" s="179"/>
      <c r="G50" s="179"/>
      <c r="H50" s="179"/>
      <c r="I50" s="179"/>
    </row>
    <row r="51" spans="1:9" ht="47.25" x14ac:dyDescent="0.25">
      <c r="A51" s="11">
        <v>45</v>
      </c>
      <c r="B51" s="293" t="s">
        <v>372</v>
      </c>
      <c r="C51" s="294">
        <v>1</v>
      </c>
      <c r="D51" s="65" t="s">
        <v>24</v>
      </c>
      <c r="E51" s="179"/>
      <c r="F51" s="179"/>
      <c r="G51" s="179"/>
      <c r="H51" s="179"/>
      <c r="I51" s="179"/>
    </row>
    <row r="52" spans="1:9" ht="47.25" x14ac:dyDescent="0.25">
      <c r="A52" s="11">
        <v>46</v>
      </c>
      <c r="B52" s="293" t="s">
        <v>373</v>
      </c>
      <c r="C52" s="294">
        <v>160</v>
      </c>
      <c r="D52" s="65" t="s">
        <v>11</v>
      </c>
      <c r="E52" s="179"/>
      <c r="F52" s="179"/>
      <c r="G52" s="179"/>
      <c r="H52" s="179"/>
      <c r="I52" s="179"/>
    </row>
    <row r="53" spans="1:9" ht="15.75" x14ac:dyDescent="0.25">
      <c r="A53" s="11">
        <v>47</v>
      </c>
      <c r="B53" s="293" t="s">
        <v>374</v>
      </c>
      <c r="C53" s="294">
        <v>8</v>
      </c>
      <c r="D53" s="65" t="s">
        <v>24</v>
      </c>
      <c r="E53" s="179"/>
      <c r="F53" s="179"/>
      <c r="G53" s="179"/>
      <c r="H53" s="179"/>
      <c r="I53" s="179"/>
    </row>
    <row r="54" spans="1:9" ht="31.5" x14ac:dyDescent="0.25">
      <c r="A54" s="11">
        <v>48</v>
      </c>
      <c r="B54" s="293" t="s">
        <v>375</v>
      </c>
      <c r="C54" s="294">
        <v>8</v>
      </c>
      <c r="D54" s="65" t="s">
        <v>24</v>
      </c>
      <c r="E54" s="179"/>
      <c r="F54" s="179"/>
      <c r="G54" s="179"/>
      <c r="H54" s="179"/>
      <c r="I54" s="179"/>
    </row>
    <row r="55" spans="1:9" ht="31.5" x14ac:dyDescent="0.25">
      <c r="A55" s="11">
        <v>49</v>
      </c>
      <c r="B55" s="293" t="s">
        <v>376</v>
      </c>
      <c r="C55" s="294">
        <v>0.1</v>
      </c>
      <c r="D55" s="65" t="s">
        <v>7</v>
      </c>
      <c r="E55" s="179"/>
      <c r="F55" s="179"/>
      <c r="G55" s="179"/>
      <c r="H55" s="179"/>
      <c r="I55" s="179"/>
    </row>
    <row r="56" spans="1:9" ht="32.25" thickBot="1" x14ac:dyDescent="0.3">
      <c r="A56" s="11">
        <v>50</v>
      </c>
      <c r="B56" s="293" t="s">
        <v>377</v>
      </c>
      <c r="C56" s="294">
        <v>266</v>
      </c>
      <c r="D56" s="65" t="s">
        <v>23</v>
      </c>
      <c r="E56" s="179"/>
      <c r="F56" s="179"/>
      <c r="G56" s="179"/>
      <c r="H56" s="179"/>
      <c r="I56" s="179"/>
    </row>
    <row r="57" spans="1:9" ht="16.5" thickBot="1" x14ac:dyDescent="0.3">
      <c r="A57" s="427" t="s">
        <v>394</v>
      </c>
      <c r="B57" s="428"/>
      <c r="C57" s="428"/>
      <c r="D57" s="429"/>
      <c r="E57" s="312"/>
      <c r="F57" s="313"/>
      <c r="G57" s="313"/>
      <c r="H57" s="313"/>
      <c r="I57" s="314"/>
    </row>
    <row r="58" spans="1:9" ht="78.75" x14ac:dyDescent="0.25">
      <c r="A58" s="11">
        <v>1</v>
      </c>
      <c r="B58" s="316" t="s">
        <v>930</v>
      </c>
      <c r="C58" s="108">
        <v>215</v>
      </c>
      <c r="D58" s="296" t="s">
        <v>23</v>
      </c>
      <c r="E58" s="179"/>
      <c r="F58" s="179"/>
      <c r="G58" s="179"/>
      <c r="H58" s="179"/>
      <c r="I58" s="179"/>
    </row>
    <row r="59" spans="1:9" ht="31.5" x14ac:dyDescent="0.25">
      <c r="A59" s="11">
        <v>2</v>
      </c>
      <c r="B59" s="80" t="s">
        <v>395</v>
      </c>
      <c r="C59" s="109">
        <v>46</v>
      </c>
      <c r="D59" s="294" t="s">
        <v>23</v>
      </c>
      <c r="E59" s="179"/>
      <c r="F59" s="179"/>
      <c r="G59" s="179"/>
      <c r="H59" s="179"/>
      <c r="I59" s="179"/>
    </row>
    <row r="60" spans="1:9" ht="15.75" x14ac:dyDescent="0.25">
      <c r="A60" s="11">
        <v>3</v>
      </c>
      <c r="B60" s="80" t="s">
        <v>396</v>
      </c>
      <c r="C60" s="109">
        <v>81</v>
      </c>
      <c r="D60" s="294" t="s">
        <v>23</v>
      </c>
      <c r="E60" s="179"/>
      <c r="F60" s="179"/>
      <c r="G60" s="179"/>
      <c r="H60" s="179"/>
      <c r="I60" s="179"/>
    </row>
    <row r="61" spans="1:9" ht="15.75" x14ac:dyDescent="0.25">
      <c r="A61" s="11">
        <v>4</v>
      </c>
      <c r="B61" s="80" t="s">
        <v>397</v>
      </c>
      <c r="C61" s="109">
        <v>85</v>
      </c>
      <c r="D61" s="294" t="s">
        <v>23</v>
      </c>
      <c r="E61" s="179"/>
      <c r="F61" s="179"/>
      <c r="G61" s="179"/>
      <c r="H61" s="179"/>
      <c r="I61" s="179"/>
    </row>
    <row r="62" spans="1:9" ht="15.75" x14ac:dyDescent="0.25">
      <c r="A62" s="11">
        <v>5</v>
      </c>
      <c r="B62" s="80" t="s">
        <v>398</v>
      </c>
      <c r="C62" s="109">
        <v>14</v>
      </c>
      <c r="D62" s="294" t="s">
        <v>23</v>
      </c>
      <c r="E62" s="179"/>
      <c r="F62" s="179"/>
      <c r="G62" s="179"/>
      <c r="H62" s="179"/>
      <c r="I62" s="179"/>
    </row>
    <row r="63" spans="1:9" ht="15.75" x14ac:dyDescent="0.25">
      <c r="A63" s="11">
        <v>6</v>
      </c>
      <c r="B63" s="80" t="s">
        <v>399</v>
      </c>
      <c r="C63" s="109">
        <v>14</v>
      </c>
      <c r="D63" s="294" t="s">
        <v>23</v>
      </c>
      <c r="E63" s="179"/>
      <c r="F63" s="179"/>
      <c r="G63" s="179"/>
      <c r="H63" s="179"/>
      <c r="I63" s="179"/>
    </row>
    <row r="64" spans="1:9" ht="47.25" x14ac:dyDescent="0.25">
      <c r="A64" s="11">
        <v>7</v>
      </c>
      <c r="B64" s="80" t="s">
        <v>400</v>
      </c>
      <c r="C64" s="109">
        <v>360</v>
      </c>
      <c r="D64" s="294" t="s">
        <v>11</v>
      </c>
      <c r="E64" s="179"/>
      <c r="F64" s="179"/>
      <c r="G64" s="179"/>
      <c r="H64" s="179"/>
      <c r="I64" s="179"/>
    </row>
    <row r="65" spans="1:9" ht="15.75" x14ac:dyDescent="0.25">
      <c r="A65" s="11">
        <v>8</v>
      </c>
      <c r="B65" s="80" t="s">
        <v>931</v>
      </c>
      <c r="C65" s="109">
        <v>120</v>
      </c>
      <c r="D65" s="189" t="s">
        <v>24</v>
      </c>
      <c r="E65" s="179"/>
      <c r="F65" s="179"/>
      <c r="G65" s="179"/>
      <c r="H65" s="179"/>
      <c r="I65" s="179"/>
    </row>
    <row r="66" spans="1:9" ht="78.75" x14ac:dyDescent="0.25">
      <c r="A66" s="11">
        <v>9</v>
      </c>
      <c r="B66" s="80" t="s">
        <v>401</v>
      </c>
      <c r="C66" s="109">
        <v>3</v>
      </c>
      <c r="D66" s="189" t="s">
        <v>24</v>
      </c>
      <c r="E66" s="179"/>
      <c r="F66" s="179"/>
      <c r="G66" s="179"/>
      <c r="H66" s="179"/>
      <c r="I66" s="179"/>
    </row>
    <row r="67" spans="1:9" ht="31.5" x14ac:dyDescent="0.25">
      <c r="A67" s="11">
        <v>10</v>
      </c>
      <c r="B67" s="80" t="s">
        <v>402</v>
      </c>
      <c r="C67" s="109">
        <v>3</v>
      </c>
      <c r="D67" s="294" t="s">
        <v>24</v>
      </c>
      <c r="E67" s="179"/>
      <c r="F67" s="179"/>
      <c r="G67" s="179"/>
      <c r="H67" s="179"/>
      <c r="I67" s="179"/>
    </row>
    <row r="68" spans="1:9" ht="31.5" x14ac:dyDescent="0.25">
      <c r="A68" s="11">
        <v>11</v>
      </c>
      <c r="B68" s="80" t="s">
        <v>403</v>
      </c>
      <c r="C68" s="109">
        <v>1</v>
      </c>
      <c r="D68" s="294" t="s">
        <v>24</v>
      </c>
      <c r="E68" s="179"/>
      <c r="F68" s="179"/>
      <c r="G68" s="179"/>
      <c r="H68" s="179"/>
      <c r="I68" s="179"/>
    </row>
    <row r="69" spans="1:9" ht="63" x14ac:dyDescent="0.25">
      <c r="A69" s="11">
        <v>12</v>
      </c>
      <c r="B69" s="80" t="s">
        <v>932</v>
      </c>
      <c r="C69" s="109">
        <v>16</v>
      </c>
      <c r="D69" s="294" t="s">
        <v>24</v>
      </c>
      <c r="E69" s="179"/>
      <c r="F69" s="179"/>
      <c r="G69" s="179"/>
      <c r="H69" s="179"/>
      <c r="I69" s="179"/>
    </row>
    <row r="70" spans="1:9" ht="31.5" x14ac:dyDescent="0.25">
      <c r="A70" s="11">
        <v>13</v>
      </c>
      <c r="B70" s="80" t="s">
        <v>402</v>
      </c>
      <c r="C70" s="109">
        <v>12</v>
      </c>
      <c r="D70" s="294" t="s">
        <v>24</v>
      </c>
      <c r="E70" s="179"/>
      <c r="F70" s="179"/>
      <c r="G70" s="179"/>
      <c r="H70" s="179"/>
      <c r="I70" s="179"/>
    </row>
    <row r="71" spans="1:9" ht="31.5" x14ac:dyDescent="0.25">
      <c r="A71" s="11">
        <v>14</v>
      </c>
      <c r="B71" s="80" t="s">
        <v>403</v>
      </c>
      <c r="C71" s="109">
        <v>3</v>
      </c>
      <c r="D71" s="294" t="s">
        <v>24</v>
      </c>
      <c r="E71" s="179"/>
      <c r="F71" s="179"/>
      <c r="G71" s="179"/>
      <c r="H71" s="179"/>
      <c r="I71" s="179"/>
    </row>
    <row r="72" spans="1:9" ht="31.5" x14ac:dyDescent="0.25">
      <c r="A72" s="11">
        <v>15</v>
      </c>
      <c r="B72" s="80" t="s">
        <v>404</v>
      </c>
      <c r="C72" s="109">
        <v>5</v>
      </c>
      <c r="D72" s="189" t="s">
        <v>24</v>
      </c>
      <c r="E72" s="179"/>
      <c r="F72" s="179"/>
      <c r="G72" s="179"/>
      <c r="H72" s="179"/>
      <c r="I72" s="179"/>
    </row>
    <row r="73" spans="1:9" ht="47.25" x14ac:dyDescent="0.25">
      <c r="A73" s="11">
        <v>16</v>
      </c>
      <c r="B73" s="80" t="s">
        <v>933</v>
      </c>
      <c r="C73" s="109">
        <v>2</v>
      </c>
      <c r="D73" s="189" t="s">
        <v>24</v>
      </c>
      <c r="E73" s="179"/>
      <c r="F73" s="179"/>
      <c r="G73" s="179"/>
      <c r="H73" s="179"/>
      <c r="I73" s="179"/>
    </row>
    <row r="74" spans="1:9" ht="31.5" x14ac:dyDescent="0.25">
      <c r="A74" s="11">
        <v>17</v>
      </c>
      <c r="B74" s="80" t="s">
        <v>402</v>
      </c>
      <c r="C74" s="109">
        <v>3</v>
      </c>
      <c r="D74" s="294" t="s">
        <v>24</v>
      </c>
      <c r="E74" s="179"/>
      <c r="F74" s="179"/>
      <c r="G74" s="179"/>
      <c r="H74" s="179"/>
      <c r="I74" s="179"/>
    </row>
    <row r="75" spans="1:9" ht="31.5" x14ac:dyDescent="0.25">
      <c r="A75" s="11">
        <v>18</v>
      </c>
      <c r="B75" s="80" t="s">
        <v>403</v>
      </c>
      <c r="C75" s="109">
        <v>1</v>
      </c>
      <c r="D75" s="294" t="s">
        <v>24</v>
      </c>
      <c r="E75" s="179"/>
      <c r="F75" s="179"/>
      <c r="G75" s="179"/>
      <c r="H75" s="179"/>
      <c r="I75" s="179"/>
    </row>
    <row r="76" spans="1:9" ht="47.25" x14ac:dyDescent="0.25">
      <c r="A76" s="11">
        <v>19</v>
      </c>
      <c r="B76" s="80" t="s">
        <v>934</v>
      </c>
      <c r="C76" s="109">
        <v>1</v>
      </c>
      <c r="D76" s="294" t="s">
        <v>24</v>
      </c>
      <c r="E76" s="179"/>
      <c r="F76" s="179"/>
      <c r="G76" s="179"/>
      <c r="H76" s="179"/>
      <c r="I76" s="179"/>
    </row>
    <row r="77" spans="1:9" ht="31.5" x14ac:dyDescent="0.25">
      <c r="A77" s="11">
        <v>20</v>
      </c>
      <c r="B77" s="80" t="s">
        <v>935</v>
      </c>
      <c r="C77" s="109">
        <v>1</v>
      </c>
      <c r="D77" s="294" t="s">
        <v>405</v>
      </c>
      <c r="E77" s="179"/>
      <c r="F77" s="179"/>
      <c r="G77" s="179"/>
      <c r="H77" s="179"/>
      <c r="I77" s="179"/>
    </row>
    <row r="78" spans="1:9" ht="31.5" x14ac:dyDescent="0.25">
      <c r="A78" s="11">
        <v>21</v>
      </c>
      <c r="B78" s="80" t="s">
        <v>936</v>
      </c>
      <c r="C78" s="109">
        <v>1</v>
      </c>
      <c r="D78" s="294" t="s">
        <v>24</v>
      </c>
      <c r="E78" s="179"/>
      <c r="F78" s="179"/>
      <c r="G78" s="179"/>
      <c r="H78" s="179"/>
      <c r="I78" s="179"/>
    </row>
    <row r="79" spans="1:9" ht="63" x14ac:dyDescent="0.25">
      <c r="A79" s="11">
        <v>22</v>
      </c>
      <c r="B79" s="80" t="s">
        <v>937</v>
      </c>
      <c r="C79" s="109">
        <v>2</v>
      </c>
      <c r="D79" s="294" t="s">
        <v>24</v>
      </c>
      <c r="E79" s="179"/>
      <c r="F79" s="179"/>
      <c r="G79" s="179"/>
      <c r="H79" s="179"/>
      <c r="I79" s="179"/>
    </row>
    <row r="80" spans="1:9" ht="15.75" x14ac:dyDescent="0.25">
      <c r="A80" s="11">
        <v>23</v>
      </c>
      <c r="B80" s="80" t="s">
        <v>390</v>
      </c>
      <c r="C80" s="109">
        <v>3</v>
      </c>
      <c r="D80" s="294" t="s">
        <v>24</v>
      </c>
      <c r="E80" s="179"/>
      <c r="F80" s="179"/>
      <c r="G80" s="179"/>
      <c r="H80" s="179"/>
      <c r="I80" s="179"/>
    </row>
    <row r="81" spans="1:9" ht="66" x14ac:dyDescent="0.25">
      <c r="A81" s="11">
        <v>24</v>
      </c>
      <c r="B81" s="80" t="s">
        <v>406</v>
      </c>
      <c r="C81" s="109">
        <v>1</v>
      </c>
      <c r="D81" s="294" t="s">
        <v>24</v>
      </c>
      <c r="E81" s="179"/>
      <c r="F81" s="179"/>
      <c r="G81" s="179"/>
      <c r="H81" s="179"/>
      <c r="I81" s="179"/>
    </row>
    <row r="82" spans="1:9" ht="47.25" x14ac:dyDescent="0.25">
      <c r="A82" s="11">
        <v>25</v>
      </c>
      <c r="B82" s="317" t="s">
        <v>938</v>
      </c>
      <c r="C82" s="109">
        <v>4</v>
      </c>
      <c r="D82" s="294" t="s">
        <v>24</v>
      </c>
      <c r="E82" s="179"/>
      <c r="F82" s="179"/>
      <c r="G82" s="179"/>
      <c r="H82" s="179"/>
      <c r="I82" s="179"/>
    </row>
    <row r="83" spans="1:9" ht="31.5" x14ac:dyDescent="0.25">
      <c r="A83" s="11">
        <v>26</v>
      </c>
      <c r="B83" s="317" t="s">
        <v>404</v>
      </c>
      <c r="C83" s="109">
        <v>6</v>
      </c>
      <c r="D83" s="294" t="s">
        <v>24</v>
      </c>
      <c r="E83" s="179"/>
      <c r="F83" s="179"/>
      <c r="G83" s="179"/>
      <c r="H83" s="179"/>
      <c r="I83" s="179"/>
    </row>
    <row r="84" spans="1:9" ht="31.5" x14ac:dyDescent="0.25">
      <c r="A84" s="11">
        <v>27</v>
      </c>
      <c r="B84" s="80" t="s">
        <v>657</v>
      </c>
      <c r="C84" s="109">
        <v>1</v>
      </c>
      <c r="D84" s="294" t="s">
        <v>24</v>
      </c>
      <c r="E84" s="179"/>
      <c r="F84" s="179"/>
      <c r="G84" s="179"/>
      <c r="H84" s="179"/>
      <c r="I84" s="179"/>
    </row>
    <row r="85" spans="1:9" ht="15.75" x14ac:dyDescent="0.25">
      <c r="A85" s="11">
        <v>28</v>
      </c>
      <c r="B85" s="80" t="s">
        <v>658</v>
      </c>
      <c r="C85" s="109">
        <v>1</v>
      </c>
      <c r="D85" s="294" t="s">
        <v>24</v>
      </c>
      <c r="E85" s="179"/>
      <c r="F85" s="179"/>
      <c r="G85" s="179"/>
      <c r="H85" s="179"/>
      <c r="I85" s="179"/>
    </row>
    <row r="86" spans="1:9" ht="15.75" x14ac:dyDescent="0.25">
      <c r="A86" s="11">
        <v>29</v>
      </c>
      <c r="B86" s="80" t="s">
        <v>923</v>
      </c>
      <c r="C86" s="109">
        <v>12</v>
      </c>
      <c r="D86" s="294" t="s">
        <v>24</v>
      </c>
      <c r="E86" s="179"/>
      <c r="F86" s="179"/>
      <c r="G86" s="179"/>
      <c r="H86" s="179"/>
      <c r="I86" s="179"/>
    </row>
    <row r="87" spans="1:9" ht="31.5" x14ac:dyDescent="0.25">
      <c r="A87" s="11">
        <v>30</v>
      </c>
      <c r="B87" s="80" t="s">
        <v>407</v>
      </c>
      <c r="C87" s="109">
        <v>32</v>
      </c>
      <c r="D87" s="294" t="s">
        <v>24</v>
      </c>
      <c r="E87" s="179"/>
      <c r="F87" s="179"/>
      <c r="G87" s="179"/>
      <c r="H87" s="179"/>
      <c r="I87" s="179"/>
    </row>
    <row r="88" spans="1:9" ht="204.75" x14ac:dyDescent="0.25">
      <c r="A88" s="11">
        <v>31</v>
      </c>
      <c r="B88" s="80" t="s">
        <v>939</v>
      </c>
      <c r="C88" s="109">
        <v>2</v>
      </c>
      <c r="D88" s="294" t="s">
        <v>24</v>
      </c>
      <c r="E88" s="179"/>
      <c r="F88" s="179"/>
      <c r="G88" s="179"/>
      <c r="H88" s="179"/>
      <c r="I88" s="179"/>
    </row>
    <row r="89" spans="1:9" ht="31.5" x14ac:dyDescent="0.25">
      <c r="A89" s="11">
        <v>32</v>
      </c>
      <c r="B89" s="80" t="s">
        <v>408</v>
      </c>
      <c r="C89" s="109">
        <v>2</v>
      </c>
      <c r="D89" s="294" t="s">
        <v>24</v>
      </c>
      <c r="E89" s="179"/>
      <c r="F89" s="179"/>
      <c r="G89" s="179"/>
      <c r="H89" s="179"/>
      <c r="I89" s="179"/>
    </row>
    <row r="90" spans="1:9" ht="15.75" x14ac:dyDescent="0.25">
      <c r="A90" s="11">
        <v>33</v>
      </c>
      <c r="B90" s="80" t="s">
        <v>409</v>
      </c>
      <c r="C90" s="109">
        <v>2</v>
      </c>
      <c r="D90" s="294" t="s">
        <v>24</v>
      </c>
      <c r="E90" s="179"/>
      <c r="F90" s="179"/>
      <c r="G90" s="179"/>
      <c r="H90" s="179"/>
      <c r="I90" s="179"/>
    </row>
    <row r="91" spans="1:9" ht="110.25" x14ac:dyDescent="0.25">
      <c r="A91" s="11">
        <v>34</v>
      </c>
      <c r="B91" s="80" t="s">
        <v>410</v>
      </c>
      <c r="C91" s="109">
        <v>12</v>
      </c>
      <c r="D91" s="294" t="s">
        <v>24</v>
      </c>
      <c r="E91" s="179"/>
      <c r="F91" s="179"/>
      <c r="G91" s="179"/>
      <c r="H91" s="179"/>
      <c r="I91" s="179"/>
    </row>
    <row r="92" spans="1:9" ht="91.15" customHeight="1" x14ac:dyDescent="0.25">
      <c r="A92" s="11">
        <v>35</v>
      </c>
      <c r="B92" s="80" t="s">
        <v>940</v>
      </c>
      <c r="C92" s="109">
        <v>10</v>
      </c>
      <c r="D92" s="294" t="s">
        <v>24</v>
      </c>
      <c r="E92" s="179"/>
      <c r="F92" s="179"/>
      <c r="G92" s="179"/>
      <c r="H92" s="179"/>
      <c r="I92" s="179"/>
    </row>
    <row r="93" spans="1:9" ht="31.5" x14ac:dyDescent="0.25">
      <c r="A93" s="11">
        <v>36</v>
      </c>
      <c r="B93" s="80" t="s">
        <v>411</v>
      </c>
      <c r="C93" s="109">
        <v>10</v>
      </c>
      <c r="D93" s="294" t="s">
        <v>24</v>
      </c>
      <c r="E93" s="179"/>
      <c r="F93" s="179"/>
      <c r="G93" s="179"/>
      <c r="H93" s="179"/>
      <c r="I93" s="179"/>
    </row>
    <row r="94" spans="1:9" ht="47.25" x14ac:dyDescent="0.25">
      <c r="A94" s="11">
        <v>37</v>
      </c>
      <c r="B94" s="80" t="s">
        <v>412</v>
      </c>
      <c r="C94" s="109">
        <v>10</v>
      </c>
      <c r="D94" s="294" t="s">
        <v>24</v>
      </c>
      <c r="E94" s="179"/>
      <c r="F94" s="179"/>
      <c r="G94" s="179"/>
      <c r="H94" s="179"/>
      <c r="I94" s="179"/>
    </row>
    <row r="95" spans="1:9" ht="94.5" x14ac:dyDescent="0.25">
      <c r="A95" s="11">
        <v>38</v>
      </c>
      <c r="B95" s="80" t="s">
        <v>941</v>
      </c>
      <c r="C95" s="109">
        <v>41</v>
      </c>
      <c r="D95" s="294" t="s">
        <v>24</v>
      </c>
      <c r="E95" s="179"/>
      <c r="F95" s="179"/>
      <c r="G95" s="179"/>
      <c r="H95" s="179"/>
      <c r="I95" s="179"/>
    </row>
    <row r="96" spans="1:9" ht="47.25" x14ac:dyDescent="0.25">
      <c r="A96" s="11">
        <v>39</v>
      </c>
      <c r="B96" s="80" t="s">
        <v>942</v>
      </c>
      <c r="C96" s="109">
        <v>41</v>
      </c>
      <c r="D96" s="294" t="s">
        <v>24</v>
      </c>
      <c r="E96" s="179"/>
      <c r="F96" s="179"/>
      <c r="G96" s="179"/>
      <c r="H96" s="179"/>
      <c r="I96" s="179"/>
    </row>
    <row r="97" spans="1:9" ht="15.75" x14ac:dyDescent="0.25">
      <c r="A97" s="11">
        <v>40</v>
      </c>
      <c r="B97" s="80" t="s">
        <v>943</v>
      </c>
      <c r="C97" s="109">
        <v>41</v>
      </c>
      <c r="D97" s="294" t="s">
        <v>24</v>
      </c>
      <c r="E97" s="179"/>
      <c r="F97" s="179"/>
      <c r="G97" s="179"/>
      <c r="H97" s="179"/>
      <c r="I97" s="179"/>
    </row>
    <row r="98" spans="1:9" ht="31.5" x14ac:dyDescent="0.25">
      <c r="A98" s="11">
        <v>41</v>
      </c>
      <c r="B98" s="80" t="s">
        <v>413</v>
      </c>
      <c r="C98" s="109">
        <v>41</v>
      </c>
      <c r="D98" s="294" t="s">
        <v>24</v>
      </c>
      <c r="E98" s="179"/>
      <c r="F98" s="179"/>
      <c r="G98" s="179"/>
      <c r="H98" s="179"/>
      <c r="I98" s="179"/>
    </row>
    <row r="99" spans="1:9" ht="78.75" x14ac:dyDescent="0.25">
      <c r="A99" s="11">
        <v>42</v>
      </c>
      <c r="B99" s="80" t="s">
        <v>944</v>
      </c>
      <c r="C99" s="109">
        <v>7</v>
      </c>
      <c r="D99" s="294" t="s">
        <v>24</v>
      </c>
      <c r="E99" s="179"/>
      <c r="F99" s="179"/>
      <c r="G99" s="179"/>
      <c r="H99" s="179"/>
      <c r="I99" s="179"/>
    </row>
    <row r="100" spans="1:9" ht="31.5" x14ac:dyDescent="0.25">
      <c r="A100" s="11">
        <v>43</v>
      </c>
      <c r="B100" s="80" t="s">
        <v>414</v>
      </c>
      <c r="C100" s="109">
        <v>6</v>
      </c>
      <c r="D100" s="294" t="s">
        <v>24</v>
      </c>
      <c r="E100" s="179"/>
      <c r="F100" s="179"/>
      <c r="G100" s="179"/>
      <c r="H100" s="179"/>
      <c r="I100" s="179"/>
    </row>
    <row r="101" spans="1:9" ht="31.5" x14ac:dyDescent="0.25">
      <c r="A101" s="11">
        <v>44</v>
      </c>
      <c r="B101" s="80" t="s">
        <v>415</v>
      </c>
      <c r="C101" s="109">
        <v>2</v>
      </c>
      <c r="D101" s="294" t="s">
        <v>24</v>
      </c>
      <c r="E101" s="179"/>
      <c r="F101" s="179"/>
      <c r="G101" s="179"/>
      <c r="H101" s="179"/>
      <c r="I101" s="179"/>
    </row>
    <row r="102" spans="1:9" ht="31.5" x14ac:dyDescent="0.25">
      <c r="A102" s="11">
        <v>45</v>
      </c>
      <c r="B102" s="80" t="s">
        <v>416</v>
      </c>
      <c r="C102" s="109">
        <v>7</v>
      </c>
      <c r="D102" s="294" t="s">
        <v>24</v>
      </c>
      <c r="E102" s="179"/>
      <c r="F102" s="179"/>
      <c r="G102" s="179"/>
      <c r="H102" s="179"/>
      <c r="I102" s="179"/>
    </row>
    <row r="103" spans="1:9" ht="31.5" x14ac:dyDescent="0.25">
      <c r="A103" s="11">
        <v>46</v>
      </c>
      <c r="B103" s="80" t="s">
        <v>417</v>
      </c>
      <c r="C103" s="109">
        <v>1</v>
      </c>
      <c r="D103" s="294" t="s">
        <v>24</v>
      </c>
      <c r="E103" s="179"/>
      <c r="F103" s="179"/>
      <c r="G103" s="179"/>
      <c r="H103" s="179"/>
      <c r="I103" s="179"/>
    </row>
    <row r="104" spans="1:9" ht="31.5" x14ac:dyDescent="0.25">
      <c r="A104" s="11">
        <v>47</v>
      </c>
      <c r="B104" s="80" t="s">
        <v>418</v>
      </c>
      <c r="C104" s="109">
        <v>2</v>
      </c>
      <c r="D104" s="294" t="s">
        <v>24</v>
      </c>
      <c r="E104" s="179"/>
      <c r="F104" s="179"/>
      <c r="G104" s="179"/>
      <c r="H104" s="179"/>
      <c r="I104" s="179"/>
    </row>
    <row r="105" spans="1:9" ht="31.5" x14ac:dyDescent="0.25">
      <c r="A105" s="11">
        <v>48</v>
      </c>
      <c r="B105" s="80" t="s">
        <v>419</v>
      </c>
      <c r="C105" s="109">
        <v>1</v>
      </c>
      <c r="D105" s="294" t="s">
        <v>24</v>
      </c>
      <c r="E105" s="179"/>
      <c r="F105" s="179"/>
      <c r="G105" s="179"/>
      <c r="H105" s="179"/>
      <c r="I105" s="179"/>
    </row>
    <row r="106" spans="1:9" ht="31.5" x14ac:dyDescent="0.25">
      <c r="A106" s="11">
        <v>49</v>
      </c>
      <c r="B106" s="80" t="s">
        <v>420</v>
      </c>
      <c r="C106" s="109">
        <v>2</v>
      </c>
      <c r="D106" s="294" t="s">
        <v>24</v>
      </c>
      <c r="E106" s="179"/>
      <c r="F106" s="179"/>
      <c r="G106" s="179"/>
      <c r="H106" s="179"/>
      <c r="I106" s="179"/>
    </row>
    <row r="107" spans="1:9" ht="31.5" x14ac:dyDescent="0.25">
      <c r="A107" s="11">
        <v>50</v>
      </c>
      <c r="B107" s="80" t="s">
        <v>421</v>
      </c>
      <c r="C107" s="109">
        <v>4</v>
      </c>
      <c r="D107" s="294" t="s">
        <v>24</v>
      </c>
      <c r="E107" s="179"/>
      <c r="F107" s="179"/>
      <c r="G107" s="179"/>
      <c r="H107" s="179"/>
      <c r="I107" s="179"/>
    </row>
    <row r="108" spans="1:9" ht="31.5" x14ac:dyDescent="0.25">
      <c r="A108" s="11">
        <v>51</v>
      </c>
      <c r="B108" s="80" t="s">
        <v>422</v>
      </c>
      <c r="C108" s="109">
        <v>1</v>
      </c>
      <c r="D108" s="294" t="s">
        <v>24</v>
      </c>
      <c r="E108" s="179"/>
      <c r="F108" s="179"/>
      <c r="G108" s="179"/>
      <c r="H108" s="179"/>
      <c r="I108" s="179"/>
    </row>
    <row r="109" spans="1:9" ht="31.5" x14ac:dyDescent="0.25">
      <c r="A109" s="11">
        <v>52</v>
      </c>
      <c r="B109" s="80" t="s">
        <v>423</v>
      </c>
      <c r="C109" s="109">
        <v>1</v>
      </c>
      <c r="D109" s="294" t="s">
        <v>24</v>
      </c>
      <c r="E109" s="179"/>
      <c r="F109" s="179"/>
      <c r="G109" s="179"/>
      <c r="H109" s="179"/>
      <c r="I109" s="179"/>
    </row>
    <row r="110" spans="1:9" ht="31.5" x14ac:dyDescent="0.25">
      <c r="A110" s="11">
        <v>53</v>
      </c>
      <c r="B110" s="80" t="s">
        <v>424</v>
      </c>
      <c r="C110" s="109">
        <v>2</v>
      </c>
      <c r="D110" s="294" t="s">
        <v>24</v>
      </c>
      <c r="E110" s="179"/>
      <c r="F110" s="179"/>
      <c r="G110" s="179"/>
      <c r="H110" s="179"/>
      <c r="I110" s="179"/>
    </row>
    <row r="111" spans="1:9" ht="31.5" x14ac:dyDescent="0.25">
      <c r="A111" s="11">
        <v>54</v>
      </c>
      <c r="B111" s="80" t="s">
        <v>425</v>
      </c>
      <c r="C111" s="109">
        <v>2</v>
      </c>
      <c r="D111" s="294" t="s">
        <v>24</v>
      </c>
      <c r="E111" s="179"/>
      <c r="F111" s="179"/>
      <c r="G111" s="179"/>
      <c r="H111" s="179"/>
      <c r="I111" s="179"/>
    </row>
    <row r="112" spans="1:9" ht="31.5" x14ac:dyDescent="0.25">
      <c r="A112" s="11">
        <v>55</v>
      </c>
      <c r="B112" s="80" t="s">
        <v>426</v>
      </c>
      <c r="C112" s="109">
        <v>3</v>
      </c>
      <c r="D112" s="294" t="s">
        <v>24</v>
      </c>
      <c r="E112" s="179"/>
      <c r="F112" s="179"/>
      <c r="G112" s="179"/>
      <c r="H112" s="179"/>
      <c r="I112" s="179"/>
    </row>
    <row r="113" spans="1:9" ht="63" x14ac:dyDescent="0.25">
      <c r="A113" s="11">
        <v>56</v>
      </c>
      <c r="B113" s="80" t="s">
        <v>945</v>
      </c>
      <c r="C113" s="109">
        <v>1</v>
      </c>
      <c r="D113" s="294" t="s">
        <v>24</v>
      </c>
      <c r="E113" s="179"/>
      <c r="F113" s="179"/>
      <c r="G113" s="179"/>
      <c r="H113" s="179"/>
      <c r="I113" s="179"/>
    </row>
    <row r="114" spans="1:9" ht="47.25" x14ac:dyDescent="0.25">
      <c r="A114" s="11">
        <v>57</v>
      </c>
      <c r="B114" s="80" t="s">
        <v>946</v>
      </c>
      <c r="C114" s="109">
        <v>1</v>
      </c>
      <c r="D114" s="294" t="s">
        <v>24</v>
      </c>
      <c r="E114" s="179"/>
      <c r="F114" s="179"/>
      <c r="G114" s="179"/>
      <c r="H114" s="179"/>
      <c r="I114" s="179"/>
    </row>
    <row r="115" spans="1:9" ht="47.45" customHeight="1" x14ac:dyDescent="0.25">
      <c r="A115" s="11">
        <v>58</v>
      </c>
      <c r="B115" s="80" t="s">
        <v>947</v>
      </c>
      <c r="C115" s="109">
        <v>10</v>
      </c>
      <c r="D115" s="294" t="s">
        <v>24</v>
      </c>
      <c r="E115" s="179"/>
      <c r="F115" s="179"/>
      <c r="G115" s="179"/>
      <c r="H115" s="179"/>
      <c r="I115" s="179"/>
    </row>
    <row r="116" spans="1:9" ht="47.25" x14ac:dyDescent="0.25">
      <c r="A116" s="11">
        <v>59</v>
      </c>
      <c r="B116" s="80" t="s">
        <v>948</v>
      </c>
      <c r="C116" s="109">
        <v>1</v>
      </c>
      <c r="D116" s="294" t="s">
        <v>24</v>
      </c>
      <c r="E116" s="179"/>
      <c r="F116" s="179"/>
      <c r="G116" s="179"/>
      <c r="H116" s="179"/>
      <c r="I116" s="179"/>
    </row>
    <row r="117" spans="1:9" ht="31.5" x14ac:dyDescent="0.25">
      <c r="A117" s="11">
        <v>60</v>
      </c>
      <c r="B117" s="80" t="s">
        <v>949</v>
      </c>
      <c r="C117" s="109">
        <v>1</v>
      </c>
      <c r="D117" s="294" t="s">
        <v>24</v>
      </c>
      <c r="E117" s="179"/>
      <c r="F117" s="179"/>
      <c r="G117" s="179"/>
      <c r="H117" s="179"/>
      <c r="I117" s="179"/>
    </row>
    <row r="118" spans="1:9" ht="63" x14ac:dyDescent="0.25">
      <c r="A118" s="11">
        <v>61</v>
      </c>
      <c r="B118" s="80" t="s">
        <v>950</v>
      </c>
      <c r="C118" s="109">
        <v>1</v>
      </c>
      <c r="D118" s="294" t="s">
        <v>24</v>
      </c>
      <c r="E118" s="179"/>
      <c r="F118" s="179"/>
      <c r="G118" s="179"/>
      <c r="H118" s="179"/>
      <c r="I118" s="179"/>
    </row>
    <row r="119" spans="1:9" ht="110.25" x14ac:dyDescent="0.25">
      <c r="A119" s="11">
        <v>62</v>
      </c>
      <c r="B119" s="80" t="s">
        <v>951</v>
      </c>
      <c r="C119" s="109">
        <v>1</v>
      </c>
      <c r="D119" s="294" t="s">
        <v>24</v>
      </c>
      <c r="E119" s="179"/>
      <c r="F119" s="179"/>
      <c r="G119" s="179"/>
      <c r="H119" s="179"/>
      <c r="I119" s="179"/>
    </row>
    <row r="120" spans="1:9" ht="126.6" customHeight="1" x14ac:dyDescent="0.25">
      <c r="A120" s="11">
        <v>63</v>
      </c>
      <c r="B120" s="80" t="s">
        <v>953</v>
      </c>
      <c r="C120" s="109">
        <v>4</v>
      </c>
      <c r="D120" s="294" t="s">
        <v>24</v>
      </c>
      <c r="E120" s="179"/>
      <c r="F120" s="179"/>
      <c r="G120" s="179"/>
      <c r="H120" s="179"/>
      <c r="I120" s="179"/>
    </row>
    <row r="121" spans="1:9" ht="78.75" x14ac:dyDescent="0.25">
      <c r="A121" s="11">
        <v>64</v>
      </c>
      <c r="B121" s="80" t="s">
        <v>954</v>
      </c>
      <c r="C121" s="109">
        <v>2</v>
      </c>
      <c r="D121" s="294" t="s">
        <v>24</v>
      </c>
      <c r="E121" s="179"/>
      <c r="F121" s="179"/>
      <c r="G121" s="179"/>
      <c r="H121" s="179"/>
      <c r="I121" s="179"/>
    </row>
    <row r="122" spans="1:9" ht="31.5" x14ac:dyDescent="0.25">
      <c r="A122" s="11">
        <v>65</v>
      </c>
      <c r="B122" s="80" t="s">
        <v>427</v>
      </c>
      <c r="C122" s="109">
        <v>10</v>
      </c>
      <c r="D122" s="294" t="s">
        <v>24</v>
      </c>
      <c r="E122" s="179"/>
      <c r="F122" s="179"/>
      <c r="G122" s="179"/>
      <c r="H122" s="179"/>
      <c r="I122" s="179"/>
    </row>
    <row r="123" spans="1:9" ht="47.25" x14ac:dyDescent="0.25">
      <c r="A123" s="11">
        <v>66</v>
      </c>
      <c r="B123" s="80" t="s">
        <v>428</v>
      </c>
      <c r="C123" s="109">
        <v>455</v>
      </c>
      <c r="D123" s="294" t="s">
        <v>23</v>
      </c>
      <c r="E123" s="179"/>
      <c r="F123" s="179"/>
      <c r="G123" s="179"/>
      <c r="H123" s="179"/>
      <c r="I123" s="179"/>
    </row>
    <row r="124" spans="1:9" ht="31.5" x14ac:dyDescent="0.25">
      <c r="A124" s="11">
        <v>67</v>
      </c>
      <c r="B124" s="80" t="s">
        <v>429</v>
      </c>
      <c r="C124" s="109">
        <v>6</v>
      </c>
      <c r="D124" s="294" t="s">
        <v>24</v>
      </c>
      <c r="E124" s="179"/>
      <c r="F124" s="179"/>
      <c r="G124" s="179"/>
      <c r="H124" s="179"/>
      <c r="I124" s="179"/>
    </row>
    <row r="125" spans="1:9" ht="31.5" x14ac:dyDescent="0.25">
      <c r="A125" s="11">
        <v>68</v>
      </c>
      <c r="B125" s="80" t="s">
        <v>430</v>
      </c>
      <c r="C125" s="109">
        <v>6</v>
      </c>
      <c r="D125" s="294" t="s">
        <v>24</v>
      </c>
      <c r="E125" s="179"/>
      <c r="F125" s="179"/>
      <c r="G125" s="179"/>
      <c r="H125" s="179"/>
      <c r="I125" s="179"/>
    </row>
    <row r="126" spans="1:9" ht="31.5" x14ac:dyDescent="0.25">
      <c r="A126" s="11">
        <v>69</v>
      </c>
      <c r="B126" s="80" t="s">
        <v>431</v>
      </c>
      <c r="C126" s="109">
        <v>16</v>
      </c>
      <c r="D126" s="294" t="s">
        <v>24</v>
      </c>
      <c r="E126" s="179"/>
      <c r="F126" s="179"/>
      <c r="G126" s="179"/>
      <c r="H126" s="179"/>
      <c r="I126" s="179"/>
    </row>
    <row r="127" spans="1:9" ht="47.25" x14ac:dyDescent="0.25">
      <c r="A127" s="11">
        <v>70</v>
      </c>
      <c r="B127" s="80" t="s">
        <v>952</v>
      </c>
      <c r="C127" s="109">
        <v>24</v>
      </c>
      <c r="D127" s="294" t="s">
        <v>23</v>
      </c>
      <c r="E127" s="179"/>
      <c r="F127" s="179"/>
      <c r="G127" s="179"/>
      <c r="H127" s="179"/>
      <c r="I127" s="179"/>
    </row>
    <row r="128" spans="1:9" ht="15.75" x14ac:dyDescent="0.25">
      <c r="A128" s="11">
        <v>71</v>
      </c>
      <c r="B128" s="80" t="s">
        <v>432</v>
      </c>
      <c r="C128" s="109">
        <v>14</v>
      </c>
      <c r="D128" s="294" t="s">
        <v>23</v>
      </c>
      <c r="E128" s="179"/>
      <c r="F128" s="179"/>
      <c r="G128" s="179"/>
      <c r="H128" s="179"/>
      <c r="I128" s="179"/>
    </row>
    <row r="129" spans="1:9" ht="15.75" x14ac:dyDescent="0.25">
      <c r="A129" s="11">
        <v>72</v>
      </c>
      <c r="B129" s="80" t="s">
        <v>433</v>
      </c>
      <c r="C129" s="109">
        <v>14</v>
      </c>
      <c r="D129" s="294" t="s">
        <v>23</v>
      </c>
      <c r="E129" s="179"/>
      <c r="F129" s="179"/>
      <c r="G129" s="179"/>
      <c r="H129" s="179"/>
      <c r="I129" s="179"/>
    </row>
    <row r="130" spans="1:9" ht="31.5" x14ac:dyDescent="0.25">
      <c r="A130" s="11">
        <v>73</v>
      </c>
      <c r="B130" s="80" t="s">
        <v>434</v>
      </c>
      <c r="C130" s="109">
        <v>2</v>
      </c>
      <c r="D130" s="294" t="s">
        <v>24</v>
      </c>
      <c r="E130" s="179"/>
      <c r="F130" s="179"/>
      <c r="G130" s="179"/>
      <c r="H130" s="179"/>
      <c r="I130" s="179"/>
    </row>
    <row r="131" spans="1:9" ht="31.5" x14ac:dyDescent="0.25">
      <c r="A131" s="11">
        <v>74</v>
      </c>
      <c r="B131" s="80" t="s">
        <v>376</v>
      </c>
      <c r="C131" s="58">
        <v>0.1</v>
      </c>
      <c r="D131" s="294" t="s">
        <v>7</v>
      </c>
      <c r="E131" s="179"/>
      <c r="F131" s="179"/>
      <c r="G131" s="179"/>
      <c r="H131" s="179"/>
      <c r="I131" s="179"/>
    </row>
    <row r="132" spans="1:9" ht="63.75" thickBot="1" x14ac:dyDescent="0.3">
      <c r="A132" s="11">
        <v>75</v>
      </c>
      <c r="B132" s="80" t="s">
        <v>435</v>
      </c>
      <c r="C132" s="109"/>
      <c r="D132" s="294"/>
      <c r="E132" s="179"/>
      <c r="F132" s="179"/>
      <c r="G132" s="179"/>
      <c r="H132" s="179"/>
      <c r="I132" s="179"/>
    </row>
    <row r="133" spans="1:9" ht="19.5" thickBot="1" x14ac:dyDescent="0.3">
      <c r="A133" s="424" t="s">
        <v>803</v>
      </c>
      <c r="B133" s="431"/>
      <c r="C133" s="431"/>
      <c r="D133" s="432"/>
      <c r="E133" s="312"/>
      <c r="F133" s="313"/>
      <c r="G133" s="313"/>
      <c r="H133" s="313"/>
      <c r="I133" s="314"/>
    </row>
    <row r="134" spans="1:9" ht="47.25" x14ac:dyDescent="0.25">
      <c r="A134" s="56">
        <v>1</v>
      </c>
      <c r="B134" s="316" t="s">
        <v>436</v>
      </c>
      <c r="C134" s="10">
        <v>0.5</v>
      </c>
      <c r="D134" s="296" t="s">
        <v>23</v>
      </c>
      <c r="E134" s="179"/>
      <c r="F134" s="179"/>
      <c r="G134" s="179"/>
      <c r="H134" s="179"/>
      <c r="I134" s="179"/>
    </row>
    <row r="135" spans="1:9" ht="15.75" x14ac:dyDescent="0.25">
      <c r="A135" s="11">
        <f>A134+1</f>
        <v>2</v>
      </c>
      <c r="B135" s="80" t="s">
        <v>437</v>
      </c>
      <c r="C135" s="58">
        <v>8</v>
      </c>
      <c r="D135" s="294" t="s">
        <v>23</v>
      </c>
      <c r="E135" s="179"/>
      <c r="F135" s="179"/>
      <c r="G135" s="179"/>
      <c r="H135" s="179"/>
      <c r="I135" s="179"/>
    </row>
    <row r="136" spans="1:9" ht="31.5" x14ac:dyDescent="0.25">
      <c r="A136" s="56">
        <v>3</v>
      </c>
      <c r="B136" s="80" t="s">
        <v>955</v>
      </c>
      <c r="C136" s="58">
        <v>1</v>
      </c>
      <c r="D136" s="294" t="s">
        <v>24</v>
      </c>
      <c r="E136" s="179"/>
      <c r="F136" s="179"/>
      <c r="G136" s="179"/>
      <c r="H136" s="179"/>
      <c r="I136" s="179"/>
    </row>
    <row r="137" spans="1:9" ht="110.25" x14ac:dyDescent="0.25">
      <c r="A137" s="11">
        <v>4</v>
      </c>
      <c r="B137" s="80" t="s">
        <v>956</v>
      </c>
      <c r="C137" s="58">
        <v>1</v>
      </c>
      <c r="D137" s="294" t="s">
        <v>24</v>
      </c>
      <c r="E137" s="179"/>
      <c r="F137" s="179"/>
      <c r="G137" s="179"/>
      <c r="H137" s="179"/>
      <c r="I137" s="179"/>
    </row>
    <row r="138" spans="1:9" ht="32.25" thickBot="1" x14ac:dyDescent="0.3">
      <c r="A138" s="11">
        <v>5</v>
      </c>
      <c r="B138" s="80" t="s">
        <v>438</v>
      </c>
      <c r="C138" s="58">
        <v>2</v>
      </c>
      <c r="D138" s="294" t="s">
        <v>24</v>
      </c>
      <c r="E138" s="179"/>
      <c r="F138" s="179"/>
      <c r="G138" s="179"/>
      <c r="H138" s="179"/>
      <c r="I138" s="179"/>
    </row>
    <row r="139" spans="1:9" ht="16.5" thickBot="1" x14ac:dyDescent="0.3">
      <c r="A139" s="424" t="s">
        <v>439</v>
      </c>
      <c r="B139" s="425"/>
      <c r="C139" s="425"/>
      <c r="D139" s="426"/>
      <c r="E139" s="312"/>
      <c r="F139" s="313"/>
      <c r="G139" s="313"/>
      <c r="H139" s="313"/>
      <c r="I139" s="314"/>
    </row>
    <row r="140" spans="1:9" ht="295.5" x14ac:dyDescent="0.25">
      <c r="A140" s="296">
        <v>1</v>
      </c>
      <c r="B140" s="318" t="s">
        <v>957</v>
      </c>
      <c r="C140" s="108">
        <v>1</v>
      </c>
      <c r="D140" s="296" t="s">
        <v>24</v>
      </c>
      <c r="E140" s="179"/>
      <c r="F140" s="179"/>
      <c r="G140" s="179"/>
      <c r="H140" s="179"/>
      <c r="I140" s="179"/>
    </row>
    <row r="141" spans="1:9" ht="47.25" x14ac:dyDescent="0.25">
      <c r="A141" s="294">
        <v>2</v>
      </c>
      <c r="B141" s="80" t="s">
        <v>440</v>
      </c>
      <c r="C141" s="109">
        <v>1</v>
      </c>
      <c r="D141" s="294" t="s">
        <v>24</v>
      </c>
      <c r="E141" s="179"/>
      <c r="F141" s="179"/>
      <c r="G141" s="179"/>
      <c r="H141" s="179"/>
      <c r="I141" s="179"/>
    </row>
    <row r="142" spans="1:9" ht="47.25" x14ac:dyDescent="0.25">
      <c r="A142" s="294">
        <v>3</v>
      </c>
      <c r="B142" s="80" t="s">
        <v>441</v>
      </c>
      <c r="C142" s="109">
        <v>4</v>
      </c>
      <c r="D142" s="294" t="s">
        <v>24</v>
      </c>
      <c r="E142" s="179"/>
      <c r="F142" s="179"/>
      <c r="G142" s="179"/>
      <c r="H142" s="179"/>
      <c r="I142" s="179"/>
    </row>
    <row r="143" spans="1:9" ht="78.75" x14ac:dyDescent="0.25">
      <c r="A143" s="294">
        <v>4</v>
      </c>
      <c r="B143" s="80" t="s">
        <v>959</v>
      </c>
      <c r="C143" s="109">
        <v>30</v>
      </c>
      <c r="D143" s="294" t="s">
        <v>23</v>
      </c>
      <c r="E143" s="179"/>
      <c r="F143" s="179"/>
      <c r="G143" s="179"/>
      <c r="H143" s="179"/>
      <c r="I143" s="179"/>
    </row>
    <row r="144" spans="1:9" ht="47.25" x14ac:dyDescent="0.25">
      <c r="A144" s="294">
        <v>5</v>
      </c>
      <c r="B144" s="80" t="s">
        <v>442</v>
      </c>
      <c r="C144" s="109">
        <v>24</v>
      </c>
      <c r="D144" s="294" t="s">
        <v>23</v>
      </c>
      <c r="E144" s="179"/>
      <c r="F144" s="179"/>
      <c r="G144" s="179"/>
      <c r="H144" s="179"/>
      <c r="I144" s="179"/>
    </row>
    <row r="145" spans="1:9" ht="47.25" x14ac:dyDescent="0.25">
      <c r="A145" s="294">
        <v>6</v>
      </c>
      <c r="B145" s="80" t="s">
        <v>443</v>
      </c>
      <c r="C145" s="109">
        <v>96</v>
      </c>
      <c r="D145" s="294" t="s">
        <v>23</v>
      </c>
      <c r="E145" s="179"/>
      <c r="F145" s="179"/>
      <c r="G145" s="179"/>
      <c r="H145" s="179"/>
      <c r="I145" s="179"/>
    </row>
    <row r="146" spans="1:9" ht="47.25" x14ac:dyDescent="0.25">
      <c r="A146" s="294">
        <v>7</v>
      </c>
      <c r="B146" s="80" t="s">
        <v>444</v>
      </c>
      <c r="C146" s="109">
        <v>4</v>
      </c>
      <c r="D146" s="294" t="s">
        <v>24</v>
      </c>
      <c r="E146" s="179"/>
      <c r="F146" s="179"/>
      <c r="G146" s="179"/>
      <c r="H146" s="179"/>
      <c r="I146" s="179"/>
    </row>
    <row r="147" spans="1:9" ht="31.5" x14ac:dyDescent="0.25">
      <c r="A147" s="294">
        <v>8</v>
      </c>
      <c r="B147" s="80" t="s">
        <v>445</v>
      </c>
      <c r="C147" s="109">
        <v>5</v>
      </c>
      <c r="D147" s="294" t="s">
        <v>24</v>
      </c>
      <c r="E147" s="179"/>
      <c r="F147" s="179"/>
      <c r="G147" s="179"/>
      <c r="H147" s="179"/>
      <c r="I147" s="179"/>
    </row>
    <row r="148" spans="1:9" ht="31.5" x14ac:dyDescent="0.25">
      <c r="A148" s="294">
        <v>9</v>
      </c>
      <c r="B148" s="80" t="s">
        <v>446</v>
      </c>
      <c r="C148" s="109">
        <v>5</v>
      </c>
      <c r="D148" s="294" t="s">
        <v>24</v>
      </c>
      <c r="E148" s="179"/>
      <c r="F148" s="179"/>
      <c r="G148" s="179"/>
      <c r="H148" s="179"/>
      <c r="I148" s="179"/>
    </row>
    <row r="149" spans="1:9" ht="15.75" x14ac:dyDescent="0.25">
      <c r="A149" s="294">
        <v>10</v>
      </c>
      <c r="B149" s="80" t="s">
        <v>447</v>
      </c>
      <c r="C149" s="109">
        <v>9</v>
      </c>
      <c r="D149" s="294" t="s">
        <v>24</v>
      </c>
      <c r="E149" s="179"/>
      <c r="F149" s="179"/>
      <c r="G149" s="179"/>
      <c r="H149" s="179"/>
      <c r="I149" s="179"/>
    </row>
    <row r="150" spans="1:9" ht="15.75" x14ac:dyDescent="0.25">
      <c r="A150" s="294">
        <v>11</v>
      </c>
      <c r="B150" s="80" t="s">
        <v>448</v>
      </c>
      <c r="C150" s="109">
        <v>1</v>
      </c>
      <c r="D150" s="294" t="s">
        <v>24</v>
      </c>
      <c r="E150" s="179"/>
      <c r="F150" s="179"/>
      <c r="G150" s="179"/>
      <c r="H150" s="179"/>
      <c r="I150" s="179"/>
    </row>
    <row r="151" spans="1:9" ht="15.75" x14ac:dyDescent="0.25">
      <c r="A151" s="294">
        <v>12</v>
      </c>
      <c r="B151" s="80" t="s">
        <v>449</v>
      </c>
      <c r="C151" s="109">
        <v>20</v>
      </c>
      <c r="D151" s="294" t="s">
        <v>24</v>
      </c>
      <c r="E151" s="179"/>
      <c r="F151" s="179"/>
      <c r="G151" s="179"/>
      <c r="H151" s="179"/>
      <c r="I151" s="179"/>
    </row>
    <row r="152" spans="1:9" ht="47.25" x14ac:dyDescent="0.25">
      <c r="A152" s="294">
        <v>13</v>
      </c>
      <c r="B152" s="80" t="s">
        <v>960</v>
      </c>
      <c r="C152" s="109">
        <v>2</v>
      </c>
      <c r="D152" s="294" t="s">
        <v>24</v>
      </c>
      <c r="E152" s="179"/>
      <c r="F152" s="179"/>
      <c r="G152" s="179"/>
      <c r="H152" s="179"/>
      <c r="I152" s="179"/>
    </row>
    <row r="153" spans="1:9" ht="31.5" x14ac:dyDescent="0.25">
      <c r="A153" s="294">
        <v>14</v>
      </c>
      <c r="B153" s="80" t="s">
        <v>450</v>
      </c>
      <c r="C153" s="109">
        <v>9</v>
      </c>
      <c r="D153" s="294" t="s">
        <v>24</v>
      </c>
      <c r="E153" s="179"/>
      <c r="F153" s="179"/>
      <c r="G153" s="179"/>
      <c r="H153" s="179"/>
      <c r="I153" s="179"/>
    </row>
    <row r="154" spans="1:9" ht="78.75" x14ac:dyDescent="0.25">
      <c r="A154" s="294">
        <v>15</v>
      </c>
      <c r="B154" s="80" t="s">
        <v>961</v>
      </c>
      <c r="C154" s="109">
        <v>8</v>
      </c>
      <c r="D154" s="294" t="s">
        <v>24</v>
      </c>
      <c r="E154" s="179"/>
      <c r="F154" s="179"/>
      <c r="G154" s="179"/>
      <c r="H154" s="179"/>
      <c r="I154" s="179"/>
    </row>
    <row r="155" spans="1:9" ht="31.5" x14ac:dyDescent="0.25">
      <c r="A155" s="294">
        <v>16</v>
      </c>
      <c r="B155" s="80" t="s">
        <v>451</v>
      </c>
      <c r="C155" s="109">
        <v>25</v>
      </c>
      <c r="D155" s="294" t="s">
        <v>24</v>
      </c>
      <c r="E155" s="179"/>
      <c r="F155" s="179"/>
      <c r="G155" s="179"/>
      <c r="H155" s="179"/>
      <c r="I155" s="179"/>
    </row>
    <row r="156" spans="1:9" ht="31.5" x14ac:dyDescent="0.25">
      <c r="A156" s="294">
        <v>17</v>
      </c>
      <c r="B156" s="80" t="s">
        <v>452</v>
      </c>
      <c r="C156" s="109">
        <v>5</v>
      </c>
      <c r="D156" s="294" t="s">
        <v>24</v>
      </c>
      <c r="E156" s="179"/>
      <c r="F156" s="179"/>
      <c r="G156" s="179"/>
      <c r="H156" s="179"/>
      <c r="I156" s="179"/>
    </row>
    <row r="157" spans="1:9" ht="63" customHeight="1" x14ac:dyDescent="0.25">
      <c r="A157" s="294">
        <v>18</v>
      </c>
      <c r="B157" s="80" t="s">
        <v>962</v>
      </c>
      <c r="C157" s="109">
        <v>4</v>
      </c>
      <c r="D157" s="294" t="s">
        <v>24</v>
      </c>
      <c r="E157" s="179"/>
      <c r="F157" s="179"/>
      <c r="G157" s="179"/>
      <c r="H157" s="179"/>
      <c r="I157" s="179"/>
    </row>
    <row r="158" spans="1:9" ht="66" x14ac:dyDescent="0.25">
      <c r="A158" s="294">
        <v>19</v>
      </c>
      <c r="B158" s="80" t="s">
        <v>453</v>
      </c>
      <c r="C158" s="109">
        <v>10</v>
      </c>
      <c r="D158" s="294" t="s">
        <v>7</v>
      </c>
      <c r="E158" s="179"/>
      <c r="F158" s="179"/>
      <c r="G158" s="179"/>
      <c r="H158" s="179"/>
      <c r="I158" s="179"/>
    </row>
    <row r="159" spans="1:9" ht="57" customHeight="1" x14ac:dyDescent="0.25">
      <c r="A159" s="294">
        <v>20</v>
      </c>
      <c r="B159" s="80" t="s">
        <v>963</v>
      </c>
      <c r="C159" s="109">
        <v>2</v>
      </c>
      <c r="D159" s="294" t="s">
        <v>24</v>
      </c>
      <c r="E159" s="179"/>
      <c r="F159" s="179"/>
      <c r="G159" s="179"/>
      <c r="H159" s="179"/>
      <c r="I159" s="179"/>
    </row>
    <row r="160" spans="1:9" ht="63" x14ac:dyDescent="0.25">
      <c r="A160" s="294">
        <v>21</v>
      </c>
      <c r="B160" s="80" t="s">
        <v>958</v>
      </c>
      <c r="C160" s="109">
        <v>6</v>
      </c>
      <c r="D160" s="294" t="s">
        <v>196</v>
      </c>
      <c r="E160" s="179"/>
      <c r="F160" s="179"/>
      <c r="G160" s="179"/>
      <c r="H160" s="179"/>
      <c r="I160" s="179"/>
    </row>
    <row r="161" spans="1:9" ht="47.25" x14ac:dyDescent="0.25">
      <c r="A161" s="294">
        <v>22</v>
      </c>
      <c r="B161" s="80" t="s">
        <v>454</v>
      </c>
      <c r="C161" s="109">
        <v>380</v>
      </c>
      <c r="D161" s="294" t="s">
        <v>11</v>
      </c>
      <c r="E161" s="179"/>
      <c r="F161" s="179"/>
      <c r="G161" s="179"/>
      <c r="H161" s="179"/>
      <c r="I161" s="179"/>
    </row>
    <row r="162" spans="1:9" ht="15.75" x14ac:dyDescent="0.25">
      <c r="A162" s="294">
        <v>23</v>
      </c>
      <c r="B162" s="80" t="s">
        <v>455</v>
      </c>
      <c r="C162" s="109">
        <v>120</v>
      </c>
      <c r="D162" s="294" t="s">
        <v>23</v>
      </c>
      <c r="E162" s="179"/>
      <c r="F162" s="179"/>
      <c r="G162" s="179"/>
      <c r="H162" s="179"/>
      <c r="I162" s="179"/>
    </row>
    <row r="163" spans="1:9" ht="31.5" x14ac:dyDescent="0.25">
      <c r="A163" s="294">
        <v>24</v>
      </c>
      <c r="B163" s="80" t="s">
        <v>964</v>
      </c>
      <c r="C163" s="109">
        <v>180</v>
      </c>
      <c r="D163" s="294" t="s">
        <v>24</v>
      </c>
      <c r="E163" s="179"/>
      <c r="F163" s="179"/>
      <c r="G163" s="179"/>
      <c r="H163" s="179"/>
      <c r="I163" s="179"/>
    </row>
    <row r="164" spans="1:9" ht="31.5" x14ac:dyDescent="0.25">
      <c r="A164" s="294">
        <v>25</v>
      </c>
      <c r="B164" s="80" t="s">
        <v>456</v>
      </c>
      <c r="C164" s="109">
        <v>30</v>
      </c>
      <c r="D164" s="294" t="s">
        <v>24</v>
      </c>
      <c r="E164" s="179"/>
      <c r="F164" s="179"/>
      <c r="G164" s="179"/>
      <c r="H164" s="179"/>
      <c r="I164" s="179"/>
    </row>
    <row r="165" spans="1:9" ht="15.75" x14ac:dyDescent="0.25">
      <c r="A165" s="294">
        <v>26</v>
      </c>
      <c r="B165" s="80" t="s">
        <v>324</v>
      </c>
      <c r="C165" s="109">
        <v>6</v>
      </c>
      <c r="D165" s="294" t="s">
        <v>24</v>
      </c>
      <c r="E165" s="179"/>
      <c r="F165" s="179"/>
      <c r="G165" s="179"/>
      <c r="H165" s="179"/>
      <c r="I165" s="179"/>
    </row>
    <row r="166" spans="1:9" ht="31.5" x14ac:dyDescent="0.25">
      <c r="A166" s="294">
        <v>27</v>
      </c>
      <c r="B166" s="80" t="s">
        <v>457</v>
      </c>
      <c r="C166" s="109">
        <v>12</v>
      </c>
      <c r="D166" s="294" t="s">
        <v>24</v>
      </c>
      <c r="E166" s="179"/>
      <c r="F166" s="179"/>
      <c r="G166" s="179"/>
      <c r="H166" s="179"/>
      <c r="I166" s="179"/>
    </row>
    <row r="167" spans="1:9" ht="35.25" thickBot="1" x14ac:dyDescent="0.3">
      <c r="A167" s="294">
        <v>28</v>
      </c>
      <c r="B167" s="80" t="s">
        <v>458</v>
      </c>
      <c r="C167" s="109">
        <v>2</v>
      </c>
      <c r="D167" s="294" t="s">
        <v>24</v>
      </c>
      <c r="E167" s="179"/>
      <c r="F167" s="179"/>
      <c r="G167" s="179"/>
      <c r="H167" s="179"/>
      <c r="I167" s="179"/>
    </row>
    <row r="168" spans="1:9" ht="19.5" thickBot="1" x14ac:dyDescent="0.3">
      <c r="A168" s="430" t="s">
        <v>459</v>
      </c>
      <c r="B168" s="431"/>
      <c r="C168" s="431"/>
      <c r="D168" s="432"/>
      <c r="E168" s="312"/>
      <c r="F168" s="313"/>
      <c r="G168" s="313"/>
      <c r="H168" s="313"/>
      <c r="I168" s="314"/>
    </row>
    <row r="169" spans="1:9" ht="111.6" customHeight="1" x14ac:dyDescent="0.25">
      <c r="A169" s="296">
        <v>1</v>
      </c>
      <c r="B169" s="316" t="s">
        <v>965</v>
      </c>
      <c r="C169" s="108">
        <v>7</v>
      </c>
      <c r="D169" s="296" t="s">
        <v>24</v>
      </c>
      <c r="E169" s="179"/>
      <c r="F169" s="179"/>
      <c r="G169" s="179"/>
      <c r="H169" s="179"/>
      <c r="I169" s="179"/>
    </row>
    <row r="170" spans="1:9" ht="113.25" x14ac:dyDescent="0.25">
      <c r="A170" s="294">
        <v>2</v>
      </c>
      <c r="B170" s="80" t="s">
        <v>966</v>
      </c>
      <c r="C170" s="109">
        <v>3</v>
      </c>
      <c r="D170" s="294" t="s">
        <v>24</v>
      </c>
      <c r="E170" s="179"/>
      <c r="F170" s="179"/>
      <c r="G170" s="179"/>
      <c r="H170" s="179"/>
      <c r="I170" s="179"/>
    </row>
    <row r="171" spans="1:9" ht="47.25" x14ac:dyDescent="0.25">
      <c r="A171" s="294">
        <v>3</v>
      </c>
      <c r="B171" s="80" t="s">
        <v>967</v>
      </c>
      <c r="C171" s="109">
        <v>34</v>
      </c>
      <c r="D171" s="294" t="s">
        <v>23</v>
      </c>
      <c r="E171" s="179"/>
      <c r="F171" s="179"/>
      <c r="G171" s="179"/>
      <c r="H171" s="179"/>
      <c r="I171" s="179"/>
    </row>
    <row r="172" spans="1:9" ht="31.5" x14ac:dyDescent="0.25">
      <c r="A172" s="294">
        <v>4</v>
      </c>
      <c r="B172" s="80" t="s">
        <v>460</v>
      </c>
      <c r="C172" s="109">
        <v>17</v>
      </c>
      <c r="D172" s="294" t="s">
        <v>23</v>
      </c>
      <c r="E172" s="179"/>
      <c r="F172" s="179"/>
      <c r="G172" s="179"/>
      <c r="H172" s="179"/>
      <c r="I172" s="179"/>
    </row>
    <row r="173" spans="1:9" ht="47.25" x14ac:dyDescent="0.25">
      <c r="A173" s="294">
        <v>5</v>
      </c>
      <c r="B173" s="80" t="s">
        <v>968</v>
      </c>
      <c r="C173" s="109">
        <v>3</v>
      </c>
      <c r="D173" s="294" t="s">
        <v>24</v>
      </c>
      <c r="E173" s="179"/>
      <c r="F173" s="179"/>
      <c r="G173" s="179"/>
      <c r="H173" s="179"/>
      <c r="I173" s="179"/>
    </row>
    <row r="174" spans="1:9" ht="31.5" x14ac:dyDescent="0.25">
      <c r="A174" s="294">
        <v>6</v>
      </c>
      <c r="B174" s="80" t="s">
        <v>461</v>
      </c>
      <c r="C174" s="109">
        <v>7</v>
      </c>
      <c r="D174" s="294" t="s">
        <v>24</v>
      </c>
      <c r="E174" s="179"/>
      <c r="F174" s="179"/>
      <c r="G174" s="179"/>
      <c r="H174" s="179"/>
      <c r="I174" s="179"/>
    </row>
    <row r="175" spans="1:9" ht="66" x14ac:dyDescent="0.25">
      <c r="A175" s="294">
        <v>7</v>
      </c>
      <c r="B175" s="80" t="s">
        <v>969</v>
      </c>
      <c r="C175" s="109">
        <v>10</v>
      </c>
      <c r="D175" s="294" t="s">
        <v>24</v>
      </c>
      <c r="E175" s="179"/>
      <c r="F175" s="179"/>
      <c r="G175" s="179"/>
      <c r="H175" s="179"/>
      <c r="I175" s="179"/>
    </row>
    <row r="176" spans="1:9" ht="31.5" x14ac:dyDescent="0.25">
      <c r="A176" s="294">
        <v>8</v>
      </c>
      <c r="B176" s="80" t="s">
        <v>462</v>
      </c>
      <c r="C176" s="109">
        <v>15</v>
      </c>
      <c r="D176" s="294" t="s">
        <v>24</v>
      </c>
      <c r="E176" s="179"/>
      <c r="F176" s="179"/>
      <c r="G176" s="179"/>
      <c r="H176" s="179"/>
      <c r="I176" s="179"/>
    </row>
    <row r="177" spans="1:9" ht="15.75" x14ac:dyDescent="0.25">
      <c r="A177" s="294">
        <v>9</v>
      </c>
      <c r="B177" s="80" t="s">
        <v>463</v>
      </c>
      <c r="C177" s="109">
        <v>2</v>
      </c>
      <c r="D177" s="294" t="s">
        <v>24</v>
      </c>
      <c r="E177" s="179"/>
      <c r="F177" s="179"/>
      <c r="G177" s="179"/>
      <c r="H177" s="179"/>
      <c r="I177" s="179"/>
    </row>
    <row r="178" spans="1:9" ht="63" x14ac:dyDescent="0.25">
      <c r="A178" s="294">
        <v>10</v>
      </c>
      <c r="B178" s="80" t="s">
        <v>464</v>
      </c>
      <c r="C178" s="109">
        <v>60</v>
      </c>
      <c r="D178" s="294" t="s">
        <v>11</v>
      </c>
      <c r="E178" s="179"/>
      <c r="F178" s="179"/>
      <c r="G178" s="179"/>
      <c r="H178" s="179"/>
      <c r="I178" s="179"/>
    </row>
    <row r="179" spans="1:9" ht="31.5" x14ac:dyDescent="0.25">
      <c r="A179" s="294">
        <v>11</v>
      </c>
      <c r="B179" s="80" t="s">
        <v>465</v>
      </c>
      <c r="C179" s="109">
        <v>10</v>
      </c>
      <c r="D179" s="294" t="s">
        <v>23</v>
      </c>
      <c r="E179" s="179"/>
      <c r="F179" s="179"/>
      <c r="G179" s="179"/>
      <c r="H179" s="179"/>
      <c r="I179" s="179"/>
    </row>
    <row r="180" spans="1:9" ht="32.25" thickBot="1" x14ac:dyDescent="0.3">
      <c r="A180" s="294">
        <v>12</v>
      </c>
      <c r="B180" s="80" t="s">
        <v>970</v>
      </c>
      <c r="C180" s="109">
        <v>20</v>
      </c>
      <c r="D180" s="294" t="s">
        <v>24</v>
      </c>
      <c r="E180" s="179"/>
      <c r="F180" s="179"/>
      <c r="G180" s="179"/>
      <c r="H180" s="179"/>
      <c r="I180" s="179"/>
    </row>
    <row r="181" spans="1:9" ht="16.5" thickBot="1" x14ac:dyDescent="0.3">
      <c r="A181" s="424" t="s">
        <v>466</v>
      </c>
      <c r="B181" s="425"/>
      <c r="C181" s="425"/>
      <c r="D181" s="426"/>
      <c r="E181" s="312"/>
      <c r="F181" s="313"/>
      <c r="G181" s="313"/>
      <c r="H181" s="313"/>
      <c r="I181" s="314"/>
    </row>
    <row r="182" spans="1:9" ht="123" x14ac:dyDescent="0.25">
      <c r="A182" s="296">
        <v>1</v>
      </c>
      <c r="B182" s="319" t="s">
        <v>971</v>
      </c>
      <c r="C182" s="108">
        <v>2</v>
      </c>
      <c r="D182" s="296" t="s">
        <v>24</v>
      </c>
      <c r="E182" s="180"/>
      <c r="F182" s="180"/>
      <c r="G182" s="180"/>
      <c r="H182" s="180"/>
      <c r="I182" s="180"/>
    </row>
    <row r="183" spans="1:9" ht="78.75" x14ac:dyDescent="0.25">
      <c r="A183" s="294">
        <v>2</v>
      </c>
      <c r="B183" s="80" t="s">
        <v>972</v>
      </c>
      <c r="C183" s="109">
        <v>2</v>
      </c>
      <c r="D183" s="294" t="s">
        <v>24</v>
      </c>
      <c r="E183" s="179"/>
      <c r="F183" s="179"/>
      <c r="G183" s="179"/>
      <c r="H183" s="179"/>
      <c r="I183" s="179"/>
    </row>
    <row r="184" spans="1:9" ht="63" x14ac:dyDescent="0.25">
      <c r="A184" s="294">
        <v>3</v>
      </c>
      <c r="B184" s="80" t="s">
        <v>973</v>
      </c>
      <c r="C184" s="109">
        <v>8</v>
      </c>
      <c r="D184" s="294" t="s">
        <v>23</v>
      </c>
      <c r="E184" s="179"/>
      <c r="F184" s="179"/>
      <c r="G184" s="179"/>
      <c r="H184" s="179"/>
      <c r="I184" s="179"/>
    </row>
    <row r="185" spans="1:9" ht="66" x14ac:dyDescent="0.25">
      <c r="A185" s="294">
        <v>4</v>
      </c>
      <c r="B185" s="80" t="s">
        <v>974</v>
      </c>
      <c r="C185" s="109">
        <v>2</v>
      </c>
      <c r="D185" s="294" t="s">
        <v>24</v>
      </c>
      <c r="E185" s="179"/>
      <c r="F185" s="179"/>
      <c r="G185" s="179"/>
      <c r="H185" s="179"/>
      <c r="I185" s="179"/>
    </row>
    <row r="186" spans="1:9" ht="50.25" x14ac:dyDescent="0.25">
      <c r="A186" s="294">
        <v>5</v>
      </c>
      <c r="B186" s="80" t="s">
        <v>975</v>
      </c>
      <c r="C186" s="109">
        <v>2</v>
      </c>
      <c r="D186" s="294" t="s">
        <v>24</v>
      </c>
      <c r="E186" s="179"/>
      <c r="F186" s="179"/>
      <c r="G186" s="179"/>
      <c r="H186" s="179"/>
      <c r="I186" s="179"/>
    </row>
    <row r="187" spans="1:9" ht="31.5" x14ac:dyDescent="0.25">
      <c r="A187" s="294">
        <v>6</v>
      </c>
      <c r="B187" s="80" t="s">
        <v>467</v>
      </c>
      <c r="C187" s="109">
        <v>2</v>
      </c>
      <c r="D187" s="294" t="s">
        <v>24</v>
      </c>
      <c r="E187" s="179"/>
      <c r="F187" s="179"/>
      <c r="G187" s="179"/>
      <c r="H187" s="179"/>
      <c r="I187" s="179"/>
    </row>
    <row r="188" spans="1:9" ht="15.75" x14ac:dyDescent="0.25">
      <c r="A188" s="294">
        <v>7</v>
      </c>
      <c r="B188" s="80" t="s">
        <v>324</v>
      </c>
      <c r="C188" s="109">
        <v>2</v>
      </c>
      <c r="D188" s="294" t="s">
        <v>24</v>
      </c>
      <c r="E188" s="179"/>
      <c r="F188" s="179"/>
      <c r="G188" s="179"/>
      <c r="H188" s="179"/>
      <c r="I188" s="179"/>
    </row>
    <row r="189" spans="1:9" ht="34.5" x14ac:dyDescent="0.25">
      <c r="A189" s="294">
        <v>8</v>
      </c>
      <c r="B189" s="80" t="s">
        <v>468</v>
      </c>
      <c r="C189" s="109">
        <v>2</v>
      </c>
      <c r="D189" s="189" t="s">
        <v>24</v>
      </c>
      <c r="E189" s="179"/>
      <c r="F189" s="179"/>
      <c r="G189" s="179"/>
      <c r="H189" s="179"/>
      <c r="I189" s="179"/>
    </row>
    <row r="190" spans="1:9" ht="15.75" x14ac:dyDescent="0.25">
      <c r="A190" s="294">
        <v>9</v>
      </c>
      <c r="B190" s="80" t="s">
        <v>469</v>
      </c>
      <c r="C190" s="109">
        <v>2</v>
      </c>
      <c r="D190" s="294" t="s">
        <v>24</v>
      </c>
      <c r="E190" s="179"/>
      <c r="F190" s="179"/>
      <c r="G190" s="179"/>
      <c r="H190" s="179"/>
      <c r="I190" s="179"/>
    </row>
    <row r="191" spans="1:9" ht="78.75" x14ac:dyDescent="0.25">
      <c r="A191" s="294">
        <v>10</v>
      </c>
      <c r="B191" s="80" t="s">
        <v>470</v>
      </c>
      <c r="C191" s="109">
        <v>80</v>
      </c>
      <c r="D191" s="189" t="s">
        <v>11</v>
      </c>
      <c r="E191" s="179"/>
      <c r="F191" s="179"/>
      <c r="G191" s="179"/>
      <c r="H191" s="179"/>
      <c r="I191" s="179"/>
    </row>
    <row r="192" spans="1:9" ht="31.5" x14ac:dyDescent="0.25">
      <c r="A192" s="294">
        <v>11</v>
      </c>
      <c r="B192" s="80" t="s">
        <v>465</v>
      </c>
      <c r="C192" s="109">
        <v>20</v>
      </c>
      <c r="D192" s="294" t="s">
        <v>23</v>
      </c>
      <c r="E192" s="179"/>
      <c r="F192" s="179"/>
      <c r="G192" s="179"/>
      <c r="H192" s="179"/>
      <c r="I192" s="179"/>
    </row>
    <row r="193" spans="1:9" ht="32.25" thickBot="1" x14ac:dyDescent="0.3">
      <c r="A193" s="294">
        <v>12</v>
      </c>
      <c r="B193" s="80" t="s">
        <v>970</v>
      </c>
      <c r="C193" s="109">
        <v>30</v>
      </c>
      <c r="D193" s="294" t="s">
        <v>24</v>
      </c>
      <c r="E193" s="179"/>
      <c r="F193" s="179"/>
      <c r="G193" s="179"/>
      <c r="H193" s="179"/>
      <c r="I193" s="179"/>
    </row>
    <row r="194" spans="1:9" ht="16.5" thickBot="1" x14ac:dyDescent="0.3">
      <c r="A194" s="424" t="s">
        <v>322</v>
      </c>
      <c r="B194" s="425"/>
      <c r="C194" s="425"/>
      <c r="D194" s="426"/>
      <c r="E194" s="312"/>
      <c r="F194" s="313"/>
      <c r="G194" s="313"/>
      <c r="H194" s="313"/>
      <c r="I194" s="314"/>
    </row>
    <row r="195" spans="1:9" ht="145.15" customHeight="1" x14ac:dyDescent="0.25">
      <c r="A195" s="296">
        <v>1</v>
      </c>
      <c r="B195" s="319" t="s">
        <v>976</v>
      </c>
      <c r="C195" s="108">
        <v>1</v>
      </c>
      <c r="D195" s="320" t="s">
        <v>471</v>
      </c>
      <c r="E195" s="180"/>
      <c r="F195" s="180"/>
      <c r="G195" s="180"/>
      <c r="H195" s="180"/>
      <c r="I195" s="180"/>
    </row>
    <row r="196" spans="1:9" ht="153.6" customHeight="1" x14ac:dyDescent="0.25">
      <c r="A196" s="294">
        <v>2</v>
      </c>
      <c r="B196" s="321" t="s">
        <v>977</v>
      </c>
      <c r="C196" s="109">
        <v>1</v>
      </c>
      <c r="D196" s="189" t="s">
        <v>471</v>
      </c>
      <c r="E196" s="179"/>
      <c r="F196" s="179"/>
      <c r="G196" s="179"/>
      <c r="H196" s="179"/>
      <c r="I196" s="179"/>
    </row>
    <row r="197" spans="1:9" ht="78.75" x14ac:dyDescent="0.25">
      <c r="A197" s="294">
        <v>3</v>
      </c>
      <c r="B197" s="80" t="s">
        <v>978</v>
      </c>
      <c r="C197" s="109">
        <v>6</v>
      </c>
      <c r="D197" s="189" t="s">
        <v>23</v>
      </c>
      <c r="E197" s="179"/>
      <c r="F197" s="179"/>
      <c r="G197" s="179"/>
      <c r="H197" s="179"/>
      <c r="I197" s="179"/>
    </row>
    <row r="198" spans="1:9" ht="30" x14ac:dyDescent="0.25">
      <c r="A198" s="294">
        <v>4</v>
      </c>
      <c r="B198" s="321" t="s">
        <v>472</v>
      </c>
      <c r="C198" s="109">
        <v>61</v>
      </c>
      <c r="D198" s="189" t="s">
        <v>23</v>
      </c>
      <c r="E198" s="179"/>
      <c r="F198" s="179"/>
      <c r="G198" s="179"/>
      <c r="H198" s="179"/>
      <c r="I198" s="179"/>
    </row>
    <row r="199" spans="1:9" ht="30" x14ac:dyDescent="0.25">
      <c r="A199" s="294">
        <v>5</v>
      </c>
      <c r="B199" s="321" t="s">
        <v>473</v>
      </c>
      <c r="C199" s="109">
        <v>6</v>
      </c>
      <c r="D199" s="189" t="s">
        <v>23</v>
      </c>
      <c r="E199" s="179"/>
      <c r="F199" s="179"/>
      <c r="G199" s="179"/>
      <c r="H199" s="179"/>
      <c r="I199" s="179"/>
    </row>
    <row r="200" spans="1:9" ht="30" x14ac:dyDescent="0.25">
      <c r="A200" s="294">
        <v>6</v>
      </c>
      <c r="B200" s="321" t="s">
        <v>474</v>
      </c>
      <c r="C200" s="109">
        <v>46</v>
      </c>
      <c r="D200" s="189" t="s">
        <v>23</v>
      </c>
      <c r="E200" s="179"/>
      <c r="F200" s="179"/>
      <c r="G200" s="179"/>
      <c r="H200" s="179"/>
      <c r="I200" s="179"/>
    </row>
    <row r="201" spans="1:9" ht="30" x14ac:dyDescent="0.25">
      <c r="A201" s="294">
        <v>7</v>
      </c>
      <c r="B201" s="321" t="s">
        <v>475</v>
      </c>
      <c r="C201" s="109">
        <v>15</v>
      </c>
      <c r="D201" s="189" t="s">
        <v>23</v>
      </c>
      <c r="E201" s="179"/>
      <c r="F201" s="179"/>
      <c r="G201" s="179"/>
      <c r="H201" s="179"/>
      <c r="I201" s="179"/>
    </row>
    <row r="202" spans="1:9" ht="75" x14ac:dyDescent="0.25">
      <c r="A202" s="294">
        <v>4</v>
      </c>
      <c r="B202" s="321" t="s">
        <v>979</v>
      </c>
      <c r="C202" s="109">
        <v>34</v>
      </c>
      <c r="D202" s="189" t="s">
        <v>23</v>
      </c>
      <c r="E202" s="179"/>
      <c r="F202" s="179"/>
      <c r="G202" s="179"/>
      <c r="H202" s="179"/>
      <c r="I202" s="179"/>
    </row>
    <row r="203" spans="1:9" ht="30" x14ac:dyDescent="0.25">
      <c r="A203" s="294">
        <v>5</v>
      </c>
      <c r="B203" s="321" t="s">
        <v>323</v>
      </c>
      <c r="C203" s="109">
        <v>23</v>
      </c>
      <c r="D203" s="189" t="s">
        <v>23</v>
      </c>
      <c r="E203" s="179"/>
      <c r="F203" s="179"/>
      <c r="G203" s="179"/>
      <c r="H203" s="179"/>
      <c r="I203" s="179"/>
    </row>
    <row r="204" spans="1:9" ht="15.75" x14ac:dyDescent="0.25">
      <c r="A204" s="294">
        <v>7</v>
      </c>
      <c r="B204" s="80" t="s">
        <v>324</v>
      </c>
      <c r="C204" s="109">
        <v>2</v>
      </c>
      <c r="D204" s="294" t="s">
        <v>24</v>
      </c>
      <c r="E204" s="179"/>
      <c r="F204" s="179"/>
      <c r="G204" s="179"/>
      <c r="H204" s="179"/>
      <c r="I204" s="179"/>
    </row>
    <row r="205" spans="1:9" ht="31.5" x14ac:dyDescent="0.25">
      <c r="A205" s="294">
        <v>8</v>
      </c>
      <c r="B205" s="80" t="s">
        <v>325</v>
      </c>
      <c r="C205" s="109">
        <v>2</v>
      </c>
      <c r="D205" s="189" t="s">
        <v>24</v>
      </c>
      <c r="E205" s="179"/>
      <c r="F205" s="179"/>
      <c r="G205" s="179"/>
      <c r="H205" s="179"/>
      <c r="I205" s="179"/>
    </row>
    <row r="206" spans="1:9" ht="78.75" x14ac:dyDescent="0.25">
      <c r="A206" s="294">
        <v>9</v>
      </c>
      <c r="B206" s="80" t="s">
        <v>470</v>
      </c>
      <c r="C206" s="109">
        <v>120</v>
      </c>
      <c r="D206" s="189" t="s">
        <v>11</v>
      </c>
      <c r="E206" s="179"/>
      <c r="F206" s="179"/>
      <c r="G206" s="179"/>
      <c r="H206" s="179"/>
      <c r="I206" s="179"/>
    </row>
    <row r="207" spans="1:9" ht="31.5" x14ac:dyDescent="0.25">
      <c r="A207" s="294">
        <v>10</v>
      </c>
      <c r="B207" s="80" t="s">
        <v>970</v>
      </c>
      <c r="C207" s="109">
        <v>30</v>
      </c>
      <c r="D207" s="294" t="s">
        <v>24</v>
      </c>
      <c r="E207" s="179"/>
      <c r="F207" s="179"/>
      <c r="G207" s="179"/>
      <c r="H207" s="179"/>
      <c r="I207" s="179"/>
    </row>
  </sheetData>
  <mergeCells count="16">
    <mergeCell ref="G1:I1"/>
    <mergeCell ref="A1:A2"/>
    <mergeCell ref="B1:B2"/>
    <mergeCell ref="C1:C2"/>
    <mergeCell ref="D1:D2"/>
    <mergeCell ref="E1:F1"/>
    <mergeCell ref="A5:D5"/>
    <mergeCell ref="A3:D3"/>
    <mergeCell ref="A4:D4"/>
    <mergeCell ref="A194:D194"/>
    <mergeCell ref="A6:D6"/>
    <mergeCell ref="A57:D57"/>
    <mergeCell ref="A168:D168"/>
    <mergeCell ref="A181:D181"/>
    <mergeCell ref="A139:D139"/>
    <mergeCell ref="A133:D133"/>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3.1.2. Épületgépészet&amp;R&amp;"Times New Roman,Normál"&amp;9Mennyiségi kiírás (IV. kötet)</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F19" sqref="F1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140625" style="8"/>
  </cols>
  <sheetData>
    <row r="1" spans="1:10" ht="15.75" x14ac:dyDescent="0.25">
      <c r="A1" s="373" t="s">
        <v>265</v>
      </c>
      <c r="B1" s="371" t="s">
        <v>262</v>
      </c>
      <c r="C1" s="371" t="s">
        <v>263</v>
      </c>
      <c r="D1" s="371" t="s">
        <v>264</v>
      </c>
      <c r="E1" s="371" t="s">
        <v>666</v>
      </c>
      <c r="F1" s="371"/>
      <c r="G1" s="371" t="s">
        <v>667</v>
      </c>
      <c r="H1" s="371"/>
      <c r="I1" s="372"/>
    </row>
    <row r="2" spans="1:10" ht="16.5" thickBot="1" x14ac:dyDescent="0.3">
      <c r="A2" s="374"/>
      <c r="B2" s="375"/>
      <c r="C2" s="375"/>
      <c r="D2" s="375"/>
      <c r="E2" s="118" t="s">
        <v>668</v>
      </c>
      <c r="F2" s="118" t="s">
        <v>669</v>
      </c>
      <c r="G2" s="118" t="s">
        <v>668</v>
      </c>
      <c r="H2" s="118" t="s">
        <v>669</v>
      </c>
      <c r="I2" s="112" t="s">
        <v>670</v>
      </c>
    </row>
    <row r="3" spans="1:10" ht="15.75" x14ac:dyDescent="0.25">
      <c r="A3" s="376" t="s">
        <v>174</v>
      </c>
      <c r="B3" s="376"/>
      <c r="C3" s="376"/>
      <c r="D3" s="376"/>
      <c r="E3" s="169"/>
      <c r="F3" s="170"/>
      <c r="G3" s="170"/>
      <c r="H3" s="170"/>
      <c r="I3" s="171"/>
    </row>
    <row r="4" spans="1:10" ht="16.5" thickBot="1" x14ac:dyDescent="0.3">
      <c r="A4" s="365" t="s">
        <v>251</v>
      </c>
      <c r="B4" s="365"/>
      <c r="C4" s="365"/>
      <c r="D4" s="365"/>
      <c r="E4" s="163"/>
      <c r="F4" s="164"/>
      <c r="G4" s="164"/>
      <c r="H4" s="164"/>
      <c r="I4" s="165"/>
    </row>
    <row r="5" spans="1:10" ht="16.5" thickBot="1" x14ac:dyDescent="0.3">
      <c r="A5" s="392" t="s">
        <v>266</v>
      </c>
      <c r="B5" s="393"/>
      <c r="C5" s="393"/>
      <c r="D5" s="433"/>
      <c r="E5" s="137"/>
      <c r="F5" s="138"/>
      <c r="G5" s="138"/>
      <c r="H5" s="138"/>
      <c r="I5" s="139"/>
    </row>
    <row r="6" spans="1:10" ht="69" x14ac:dyDescent="0.25">
      <c r="A6" s="5">
        <v>1</v>
      </c>
      <c r="B6" s="41" t="s">
        <v>287</v>
      </c>
      <c r="C6" s="103">
        <v>1</v>
      </c>
      <c r="D6" s="57" t="s">
        <v>24</v>
      </c>
      <c r="E6" s="117"/>
      <c r="F6" s="117"/>
      <c r="G6" s="117"/>
      <c r="H6" s="117"/>
      <c r="I6" s="117"/>
    </row>
    <row r="7" spans="1:10" ht="34.5" x14ac:dyDescent="0.25">
      <c r="A7" s="3">
        <f>A6+1</f>
        <v>2</v>
      </c>
      <c r="B7" s="43" t="s">
        <v>288</v>
      </c>
      <c r="C7" s="26">
        <v>1</v>
      </c>
      <c r="D7" s="37" t="s">
        <v>24</v>
      </c>
      <c r="E7" s="117"/>
      <c r="F7" s="117"/>
      <c r="G7" s="117"/>
      <c r="H7" s="117"/>
      <c r="I7" s="117"/>
      <c r="J7" s="166"/>
    </row>
    <row r="8" spans="1:10" ht="34.5" x14ac:dyDescent="0.25">
      <c r="A8" s="3">
        <f t="shared" ref="A8:A38" si="0">A7+1</f>
        <v>3</v>
      </c>
      <c r="B8" s="41" t="s">
        <v>289</v>
      </c>
      <c r="C8" s="26">
        <v>1</v>
      </c>
      <c r="D8" s="57" t="s">
        <v>24</v>
      </c>
      <c r="E8" s="117"/>
      <c r="F8" s="117"/>
      <c r="G8" s="117"/>
      <c r="H8" s="117"/>
      <c r="I8" s="117"/>
    </row>
    <row r="9" spans="1:10" ht="47.25" x14ac:dyDescent="0.25">
      <c r="A9" s="3">
        <f t="shared" si="0"/>
        <v>4</v>
      </c>
      <c r="B9" s="41" t="s">
        <v>290</v>
      </c>
      <c r="C9" s="26">
        <v>1</v>
      </c>
      <c r="D9" s="57" t="s">
        <v>24</v>
      </c>
      <c r="E9" s="117"/>
      <c r="F9" s="117"/>
      <c r="G9" s="117"/>
      <c r="H9" s="117"/>
      <c r="I9" s="117"/>
    </row>
    <row r="10" spans="1:10" ht="47.25" x14ac:dyDescent="0.25">
      <c r="A10" s="3">
        <f t="shared" si="0"/>
        <v>5</v>
      </c>
      <c r="B10" s="41" t="s">
        <v>291</v>
      </c>
      <c r="C10" s="26">
        <v>1</v>
      </c>
      <c r="D10" s="57" t="s">
        <v>24</v>
      </c>
      <c r="E10" s="117"/>
      <c r="F10" s="117"/>
      <c r="G10" s="117"/>
      <c r="H10" s="117"/>
      <c r="I10" s="117"/>
    </row>
    <row r="11" spans="1:10" ht="47.25" x14ac:dyDescent="0.25">
      <c r="A11" s="3">
        <f t="shared" si="0"/>
        <v>6</v>
      </c>
      <c r="B11" s="41" t="s">
        <v>292</v>
      </c>
      <c r="C11" s="26">
        <v>1</v>
      </c>
      <c r="D11" s="57" t="s">
        <v>24</v>
      </c>
      <c r="E11" s="117"/>
      <c r="F11" s="117"/>
      <c r="G11" s="117"/>
      <c r="H11" s="117"/>
      <c r="I11" s="117"/>
    </row>
    <row r="12" spans="1:10" ht="47.25" x14ac:dyDescent="0.25">
      <c r="A12" s="3">
        <f t="shared" si="0"/>
        <v>7</v>
      </c>
      <c r="B12" s="41" t="s">
        <v>293</v>
      </c>
      <c r="C12" s="26">
        <v>1</v>
      </c>
      <c r="D12" s="57" t="s">
        <v>24</v>
      </c>
      <c r="E12" s="117"/>
      <c r="F12" s="117"/>
      <c r="G12" s="117"/>
      <c r="H12" s="117"/>
      <c r="I12" s="117"/>
    </row>
    <row r="13" spans="1:10" ht="47.25" x14ac:dyDescent="0.25">
      <c r="A13" s="3">
        <f t="shared" si="0"/>
        <v>8</v>
      </c>
      <c r="B13" s="41" t="s">
        <v>294</v>
      </c>
      <c r="C13" s="26">
        <v>1</v>
      </c>
      <c r="D13" s="57" t="s">
        <v>24</v>
      </c>
      <c r="E13" s="117"/>
      <c r="F13" s="117"/>
      <c r="G13" s="117"/>
      <c r="H13" s="117"/>
      <c r="I13" s="117"/>
    </row>
    <row r="14" spans="1:10" ht="31.5" x14ac:dyDescent="0.25">
      <c r="A14" s="3">
        <f t="shared" si="0"/>
        <v>9</v>
      </c>
      <c r="B14" s="41" t="s">
        <v>295</v>
      </c>
      <c r="C14" s="26">
        <v>1</v>
      </c>
      <c r="D14" s="57" t="s">
        <v>24</v>
      </c>
      <c r="E14" s="117"/>
      <c r="F14" s="117"/>
      <c r="G14" s="117"/>
      <c r="H14" s="117"/>
      <c r="I14" s="117"/>
    </row>
    <row r="15" spans="1:10" ht="15.75" x14ac:dyDescent="0.25">
      <c r="A15" s="3">
        <f t="shared" si="0"/>
        <v>10</v>
      </c>
      <c r="B15" s="41" t="s">
        <v>296</v>
      </c>
      <c r="C15" s="103">
        <v>1</v>
      </c>
      <c r="D15" s="57" t="s">
        <v>24</v>
      </c>
      <c r="E15" s="117"/>
      <c r="F15" s="117"/>
      <c r="G15" s="117"/>
      <c r="H15" s="117"/>
      <c r="I15" s="117"/>
    </row>
    <row r="16" spans="1:10" ht="47.25" x14ac:dyDescent="0.25">
      <c r="A16" s="3">
        <f t="shared" si="0"/>
        <v>11</v>
      </c>
      <c r="B16" s="41" t="s">
        <v>702</v>
      </c>
      <c r="C16" s="103">
        <v>1</v>
      </c>
      <c r="D16" s="57" t="s">
        <v>24</v>
      </c>
      <c r="E16" s="117"/>
      <c r="F16" s="117"/>
      <c r="G16" s="117"/>
      <c r="H16" s="117"/>
      <c r="I16" s="117"/>
    </row>
    <row r="17" spans="1:9" ht="15.75" x14ac:dyDescent="0.25">
      <c r="A17" s="3">
        <f t="shared" si="0"/>
        <v>12</v>
      </c>
      <c r="B17" s="41" t="s">
        <v>297</v>
      </c>
      <c r="C17" s="103">
        <v>1</v>
      </c>
      <c r="D17" s="57" t="s">
        <v>298</v>
      </c>
      <c r="E17" s="117"/>
      <c r="F17" s="117"/>
      <c r="G17" s="117"/>
      <c r="H17" s="117"/>
      <c r="I17" s="117"/>
    </row>
    <row r="18" spans="1:9" ht="31.5" x14ac:dyDescent="0.25">
      <c r="A18" s="3">
        <f t="shared" si="0"/>
        <v>13</v>
      </c>
      <c r="B18" s="41" t="s">
        <v>299</v>
      </c>
      <c r="C18" s="103">
        <v>1</v>
      </c>
      <c r="D18" s="57" t="s">
        <v>298</v>
      </c>
      <c r="E18" s="117"/>
      <c r="F18" s="117"/>
      <c r="G18" s="117"/>
      <c r="H18" s="117"/>
      <c r="I18" s="117"/>
    </row>
    <row r="19" spans="1:9" ht="31.5" x14ac:dyDescent="0.25">
      <c r="A19" s="3">
        <f t="shared" si="0"/>
        <v>14</v>
      </c>
      <c r="B19" s="41" t="s">
        <v>300</v>
      </c>
      <c r="C19" s="103">
        <v>1</v>
      </c>
      <c r="D19" s="57" t="s">
        <v>298</v>
      </c>
      <c r="E19" s="117"/>
      <c r="F19" s="117"/>
      <c r="G19" s="117"/>
      <c r="H19" s="117"/>
      <c r="I19" s="117"/>
    </row>
    <row r="20" spans="1:9" ht="31.5" x14ac:dyDescent="0.25">
      <c r="A20" s="3">
        <f t="shared" si="0"/>
        <v>15</v>
      </c>
      <c r="B20" s="41" t="s">
        <v>301</v>
      </c>
      <c r="C20" s="103">
        <v>1</v>
      </c>
      <c r="D20" s="57" t="s">
        <v>298</v>
      </c>
      <c r="E20" s="117"/>
      <c r="F20" s="117"/>
      <c r="G20" s="117"/>
      <c r="H20" s="117"/>
      <c r="I20" s="117"/>
    </row>
    <row r="21" spans="1:9" ht="31.5" x14ac:dyDescent="0.25">
      <c r="A21" s="3">
        <f t="shared" si="0"/>
        <v>16</v>
      </c>
      <c r="B21" s="41" t="s">
        <v>302</v>
      </c>
      <c r="C21" s="103">
        <v>1</v>
      </c>
      <c r="D21" s="57" t="s">
        <v>298</v>
      </c>
      <c r="E21" s="117"/>
      <c r="F21" s="117"/>
      <c r="G21" s="117"/>
      <c r="H21" s="117"/>
      <c r="I21" s="117"/>
    </row>
    <row r="22" spans="1:9" ht="47.25" x14ac:dyDescent="0.25">
      <c r="A22" s="3">
        <f t="shared" si="0"/>
        <v>17</v>
      </c>
      <c r="B22" s="41" t="s">
        <v>303</v>
      </c>
      <c r="C22" s="103">
        <v>1</v>
      </c>
      <c r="D22" s="57" t="s">
        <v>298</v>
      </c>
      <c r="E22" s="117"/>
      <c r="F22" s="117"/>
      <c r="G22" s="117"/>
      <c r="H22" s="117"/>
      <c r="I22" s="117"/>
    </row>
    <row r="23" spans="1:9" ht="15.75" x14ac:dyDescent="0.25">
      <c r="A23" s="3">
        <f t="shared" si="0"/>
        <v>18</v>
      </c>
      <c r="B23" s="41" t="s">
        <v>304</v>
      </c>
      <c r="C23" s="103">
        <v>32</v>
      </c>
      <c r="D23" s="57" t="s">
        <v>24</v>
      </c>
      <c r="E23" s="117"/>
      <c r="F23" s="117"/>
      <c r="G23" s="117"/>
      <c r="H23" s="117"/>
      <c r="I23" s="117"/>
    </row>
    <row r="24" spans="1:9" ht="47.25" x14ac:dyDescent="0.25">
      <c r="A24" s="3">
        <f t="shared" si="0"/>
        <v>19</v>
      </c>
      <c r="B24" s="205" t="s">
        <v>708</v>
      </c>
      <c r="C24" s="75">
        <v>5</v>
      </c>
      <c r="D24" s="57" t="s">
        <v>24</v>
      </c>
      <c r="E24" s="117"/>
      <c r="F24" s="117"/>
      <c r="G24" s="117"/>
      <c r="H24" s="117"/>
      <c r="I24" s="117"/>
    </row>
    <row r="25" spans="1:9" ht="47.25" x14ac:dyDescent="0.25">
      <c r="A25" s="3">
        <f t="shared" si="0"/>
        <v>20</v>
      </c>
      <c r="B25" s="205" t="s">
        <v>707</v>
      </c>
      <c r="C25" s="75">
        <v>6</v>
      </c>
      <c r="D25" s="57" t="s">
        <v>24</v>
      </c>
      <c r="E25" s="117"/>
      <c r="F25" s="117"/>
      <c r="G25" s="117"/>
      <c r="H25" s="117"/>
      <c r="I25" s="117"/>
    </row>
    <row r="26" spans="1:9" ht="15.75" x14ac:dyDescent="0.25">
      <c r="A26" s="3">
        <f t="shared" si="0"/>
        <v>21</v>
      </c>
      <c r="B26" s="41" t="s">
        <v>305</v>
      </c>
      <c r="C26" s="103">
        <v>12</v>
      </c>
      <c r="D26" s="57" t="s">
        <v>24</v>
      </c>
      <c r="E26" s="117"/>
      <c r="F26" s="117"/>
      <c r="G26" s="117"/>
      <c r="H26" s="117"/>
      <c r="I26" s="117"/>
    </row>
    <row r="27" spans="1:9" ht="31.5" x14ac:dyDescent="0.25">
      <c r="A27" s="3">
        <f t="shared" si="0"/>
        <v>22</v>
      </c>
      <c r="B27" s="41" t="s">
        <v>306</v>
      </c>
      <c r="C27" s="103">
        <v>15</v>
      </c>
      <c r="D27" s="57" t="s">
        <v>24</v>
      </c>
      <c r="E27" s="117"/>
      <c r="F27" s="117"/>
      <c r="G27" s="117"/>
      <c r="H27" s="117"/>
      <c r="I27" s="117"/>
    </row>
    <row r="28" spans="1:9" ht="15.75" x14ac:dyDescent="0.25">
      <c r="A28" s="3">
        <f t="shared" si="0"/>
        <v>23</v>
      </c>
      <c r="B28" s="205" t="s">
        <v>709</v>
      </c>
      <c r="C28" s="26">
        <v>4</v>
      </c>
      <c r="D28" s="57" t="s">
        <v>24</v>
      </c>
      <c r="E28" s="117"/>
      <c r="F28" s="117"/>
      <c r="G28" s="117"/>
      <c r="H28" s="117"/>
      <c r="I28" s="117"/>
    </row>
    <row r="29" spans="1:9" ht="15.75" x14ac:dyDescent="0.25">
      <c r="A29" s="3">
        <f t="shared" si="0"/>
        <v>24</v>
      </c>
      <c r="B29" s="41" t="s">
        <v>307</v>
      </c>
      <c r="C29" s="26">
        <v>60</v>
      </c>
      <c r="D29" s="57" t="s">
        <v>24</v>
      </c>
      <c r="E29" s="117"/>
      <c r="F29" s="117"/>
      <c r="G29" s="117"/>
      <c r="H29" s="117"/>
      <c r="I29" s="117"/>
    </row>
    <row r="30" spans="1:9" ht="15.75" x14ac:dyDescent="0.25">
      <c r="A30" s="3">
        <f t="shared" si="0"/>
        <v>25</v>
      </c>
      <c r="B30" s="205" t="s">
        <v>710</v>
      </c>
      <c r="C30" s="26">
        <v>2</v>
      </c>
      <c r="D30" s="57" t="s">
        <v>24</v>
      </c>
      <c r="E30" s="117"/>
      <c r="F30" s="117"/>
      <c r="G30" s="117"/>
      <c r="H30" s="117"/>
      <c r="I30" s="117"/>
    </row>
    <row r="31" spans="1:9" ht="15.75" x14ac:dyDescent="0.25">
      <c r="A31" s="3">
        <f t="shared" si="0"/>
        <v>26</v>
      </c>
      <c r="B31" s="205" t="s">
        <v>711</v>
      </c>
      <c r="C31" s="26">
        <v>2</v>
      </c>
      <c r="D31" s="57" t="s">
        <v>24</v>
      </c>
      <c r="E31" s="117"/>
      <c r="F31" s="117"/>
      <c r="G31" s="117"/>
      <c r="H31" s="117"/>
      <c r="I31" s="117"/>
    </row>
    <row r="32" spans="1:9" ht="31.5" x14ac:dyDescent="0.25">
      <c r="A32" s="3">
        <f t="shared" si="0"/>
        <v>27</v>
      </c>
      <c r="B32" s="41" t="s">
        <v>308</v>
      </c>
      <c r="C32" s="26">
        <v>15</v>
      </c>
      <c r="D32" s="57" t="s">
        <v>24</v>
      </c>
      <c r="E32" s="117"/>
      <c r="F32" s="117"/>
      <c r="G32" s="117"/>
      <c r="H32" s="117"/>
      <c r="I32" s="117"/>
    </row>
    <row r="33" spans="1:9" ht="18.75" x14ac:dyDescent="0.25">
      <c r="A33" s="5">
        <f t="shared" si="0"/>
        <v>28</v>
      </c>
      <c r="B33" s="41" t="s">
        <v>309</v>
      </c>
      <c r="C33" s="103">
        <v>550</v>
      </c>
      <c r="D33" s="57" t="s">
        <v>168</v>
      </c>
      <c r="E33" s="117"/>
      <c r="F33" s="117"/>
      <c r="G33" s="117"/>
      <c r="H33" s="117"/>
      <c r="I33" s="117"/>
    </row>
    <row r="34" spans="1:9" ht="18.75" x14ac:dyDescent="0.25">
      <c r="A34" s="3">
        <f t="shared" si="0"/>
        <v>29</v>
      </c>
      <c r="B34" s="41" t="s">
        <v>310</v>
      </c>
      <c r="C34" s="26">
        <v>200</v>
      </c>
      <c r="D34" s="57" t="s">
        <v>168</v>
      </c>
      <c r="E34" s="117"/>
      <c r="F34" s="117"/>
      <c r="G34" s="117"/>
      <c r="H34" s="117"/>
      <c r="I34" s="117"/>
    </row>
    <row r="35" spans="1:9" ht="18.75" x14ac:dyDescent="0.25">
      <c r="A35" s="3">
        <f t="shared" si="0"/>
        <v>30</v>
      </c>
      <c r="B35" s="41" t="s">
        <v>311</v>
      </c>
      <c r="C35" s="26">
        <v>900</v>
      </c>
      <c r="D35" s="57" t="s">
        <v>168</v>
      </c>
      <c r="E35" s="117"/>
      <c r="F35" s="117"/>
      <c r="G35" s="117"/>
      <c r="H35" s="117"/>
      <c r="I35" s="117"/>
    </row>
    <row r="36" spans="1:9" ht="47.25" x14ac:dyDescent="0.25">
      <c r="A36" s="3">
        <f t="shared" si="0"/>
        <v>31</v>
      </c>
      <c r="B36" s="41" t="s">
        <v>312</v>
      </c>
      <c r="C36" s="26">
        <v>400</v>
      </c>
      <c r="D36" s="57" t="s">
        <v>168</v>
      </c>
      <c r="E36" s="117"/>
      <c r="F36" s="117"/>
      <c r="G36" s="117"/>
      <c r="H36" s="117"/>
      <c r="I36" s="117"/>
    </row>
    <row r="37" spans="1:9" ht="34.5" x14ac:dyDescent="0.25">
      <c r="A37" s="3">
        <f t="shared" si="0"/>
        <v>32</v>
      </c>
      <c r="B37" s="41" t="s">
        <v>313</v>
      </c>
      <c r="C37" s="26">
        <v>150</v>
      </c>
      <c r="D37" s="57" t="s">
        <v>168</v>
      </c>
      <c r="E37" s="117"/>
      <c r="F37" s="117"/>
      <c r="G37" s="117"/>
      <c r="H37" s="117"/>
      <c r="I37" s="117"/>
    </row>
    <row r="38" spans="1:9" ht="78.75" x14ac:dyDescent="0.25">
      <c r="A38" s="3">
        <f t="shared" si="0"/>
        <v>33</v>
      </c>
      <c r="B38" s="57" t="s">
        <v>703</v>
      </c>
      <c r="C38" s="26">
        <v>1</v>
      </c>
      <c r="D38" s="57" t="s">
        <v>298</v>
      </c>
      <c r="E38" s="117"/>
      <c r="F38" s="117"/>
      <c r="G38" s="117"/>
      <c r="H38" s="117"/>
      <c r="I38" s="117"/>
    </row>
  </sheetData>
  <mergeCells count="9">
    <mergeCell ref="E1:F1"/>
    <mergeCell ref="G1:I1"/>
    <mergeCell ref="A3:D3"/>
    <mergeCell ref="A4:D4"/>
    <mergeCell ref="A5:D5"/>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3.1.3. Elektromos ellátás&amp;R&amp;"Times New Roman,Normál"&amp;9Mennyiségi kiírás (IV. kötet)</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5" zoomScaleNormal="85" workbookViewId="0">
      <selection activeCell="A49" sqref="A49"/>
    </sheetView>
  </sheetViews>
  <sheetFormatPr defaultColWidth="9.140625" defaultRowHeight="15" x14ac:dyDescent="0.25"/>
  <cols>
    <col min="1" max="1" width="6" style="201" customWidth="1"/>
    <col min="2" max="2" width="60.7109375" style="201" customWidth="1"/>
    <col min="3" max="3" width="10.7109375" style="201" customWidth="1"/>
    <col min="4" max="4" width="6.7109375" style="201" customWidth="1"/>
    <col min="5" max="8" width="8.7109375" style="201" customWidth="1"/>
    <col min="9" max="9" width="10.42578125" style="201" customWidth="1"/>
    <col min="10" max="16384" width="9.140625" style="201"/>
  </cols>
  <sheetData>
    <row r="1" spans="1:10" ht="15.75" customHeight="1" x14ac:dyDescent="0.25">
      <c r="A1" s="373" t="s">
        <v>265</v>
      </c>
      <c r="B1" s="371" t="s">
        <v>262</v>
      </c>
      <c r="C1" s="371" t="s">
        <v>263</v>
      </c>
      <c r="D1" s="371" t="s">
        <v>264</v>
      </c>
      <c r="E1" s="371" t="s">
        <v>666</v>
      </c>
      <c r="F1" s="371"/>
      <c r="G1" s="371" t="s">
        <v>667</v>
      </c>
      <c r="H1" s="371"/>
      <c r="I1" s="372"/>
    </row>
    <row r="2" spans="1:10" ht="15.75" customHeight="1" thickBot="1" x14ac:dyDescent="0.3">
      <c r="A2" s="374"/>
      <c r="B2" s="375"/>
      <c r="C2" s="375"/>
      <c r="D2" s="375"/>
      <c r="E2" s="167" t="s">
        <v>668</v>
      </c>
      <c r="F2" s="167" t="s">
        <v>669</v>
      </c>
      <c r="G2" s="167" t="s">
        <v>668</v>
      </c>
      <c r="H2" s="167" t="s">
        <v>669</v>
      </c>
      <c r="I2" s="168" t="s">
        <v>670</v>
      </c>
    </row>
    <row r="3" spans="1:10" ht="15.75" x14ac:dyDescent="0.25">
      <c r="A3" s="422" t="s">
        <v>174</v>
      </c>
      <c r="B3" s="422"/>
      <c r="C3" s="422"/>
      <c r="D3" s="423"/>
      <c r="E3" s="322"/>
      <c r="F3" s="310"/>
      <c r="G3" s="310"/>
      <c r="H3" s="310"/>
      <c r="I3" s="311"/>
    </row>
    <row r="4" spans="1:10" ht="15.75" x14ac:dyDescent="0.25">
      <c r="A4" s="415" t="s">
        <v>251</v>
      </c>
      <c r="B4" s="415"/>
      <c r="C4" s="415"/>
      <c r="D4" s="416"/>
      <c r="E4" s="322"/>
      <c r="F4" s="310"/>
      <c r="G4" s="310"/>
      <c r="H4" s="310"/>
      <c r="I4" s="311"/>
    </row>
    <row r="5" spans="1:10" ht="16.5" thickBot="1" x14ac:dyDescent="0.3">
      <c r="A5" s="415" t="s">
        <v>700</v>
      </c>
      <c r="B5" s="415"/>
      <c r="C5" s="415"/>
      <c r="D5" s="416"/>
      <c r="E5" s="322"/>
      <c r="F5" s="310"/>
      <c r="G5" s="310"/>
      <c r="H5" s="310"/>
      <c r="I5" s="311"/>
    </row>
    <row r="6" spans="1:10" ht="15" customHeight="1" thickBot="1" x14ac:dyDescent="0.3">
      <c r="A6" s="434" t="s">
        <v>274</v>
      </c>
      <c r="B6" s="435"/>
      <c r="C6" s="435"/>
      <c r="D6" s="435"/>
      <c r="E6" s="312"/>
      <c r="F6" s="313"/>
      <c r="G6" s="313"/>
      <c r="H6" s="313"/>
      <c r="I6" s="314"/>
    </row>
    <row r="7" spans="1:10" ht="18.75" x14ac:dyDescent="0.25">
      <c r="A7" s="11">
        <v>1</v>
      </c>
      <c r="B7" s="293" t="s">
        <v>286</v>
      </c>
      <c r="C7" s="294">
        <v>21</v>
      </c>
      <c r="D7" s="323" t="s">
        <v>112</v>
      </c>
      <c r="E7" s="179"/>
      <c r="F7" s="179"/>
      <c r="G7" s="179"/>
      <c r="H7" s="179"/>
      <c r="I7" s="179"/>
      <c r="J7" s="18"/>
    </row>
    <row r="8" spans="1:10" ht="18.75" x14ac:dyDescent="0.25">
      <c r="A8" s="11">
        <f>A7+1</f>
        <v>2</v>
      </c>
      <c r="B8" s="293" t="s">
        <v>275</v>
      </c>
      <c r="C8" s="294">
        <v>8</v>
      </c>
      <c r="D8" s="98" t="s">
        <v>112</v>
      </c>
      <c r="E8" s="179"/>
      <c r="F8" s="179"/>
      <c r="G8" s="179"/>
      <c r="H8" s="179"/>
      <c r="I8" s="179"/>
    </row>
    <row r="9" spans="1:10" ht="35.25" thickBot="1" x14ac:dyDescent="0.3">
      <c r="A9" s="11">
        <f>A8+1</f>
        <v>3</v>
      </c>
      <c r="B9" s="293" t="s">
        <v>276</v>
      </c>
      <c r="C9" s="294">
        <v>9.5</v>
      </c>
      <c r="D9" s="98" t="s">
        <v>112</v>
      </c>
      <c r="E9" s="179"/>
      <c r="F9" s="179"/>
      <c r="G9" s="179"/>
      <c r="H9" s="179"/>
      <c r="I9" s="179"/>
    </row>
    <row r="10" spans="1:10" ht="15" customHeight="1" thickBot="1" x14ac:dyDescent="0.3">
      <c r="A10" s="434" t="s">
        <v>277</v>
      </c>
      <c r="B10" s="435"/>
      <c r="C10" s="435"/>
      <c r="D10" s="436"/>
      <c r="E10" s="312"/>
      <c r="F10" s="313"/>
      <c r="G10" s="313"/>
      <c r="H10" s="313"/>
      <c r="I10" s="314"/>
    </row>
    <row r="11" spans="1:10" ht="31.5" x14ac:dyDescent="0.25">
      <c r="A11" s="11">
        <v>1</v>
      </c>
      <c r="B11" s="293" t="s">
        <v>278</v>
      </c>
      <c r="C11" s="294">
        <v>0.65</v>
      </c>
      <c r="D11" s="98" t="s">
        <v>112</v>
      </c>
      <c r="E11" s="179"/>
      <c r="F11" s="179"/>
      <c r="G11" s="179"/>
      <c r="H11" s="179"/>
      <c r="I11" s="179"/>
    </row>
    <row r="12" spans="1:10" ht="31.5" x14ac:dyDescent="0.25">
      <c r="A12" s="11">
        <f t="shared" ref="A12:A14" si="0">A11+1</f>
        <v>2</v>
      </c>
      <c r="B12" s="293" t="s">
        <v>279</v>
      </c>
      <c r="C12" s="294">
        <v>2.1</v>
      </c>
      <c r="D12" s="98" t="s">
        <v>112</v>
      </c>
      <c r="E12" s="179"/>
      <c r="F12" s="179"/>
      <c r="G12" s="179"/>
      <c r="H12" s="179"/>
      <c r="I12" s="179"/>
    </row>
    <row r="13" spans="1:10" ht="31.5" x14ac:dyDescent="0.25">
      <c r="A13" s="11">
        <f t="shared" si="0"/>
        <v>3</v>
      </c>
      <c r="B13" s="293" t="s">
        <v>280</v>
      </c>
      <c r="C13" s="294">
        <v>5</v>
      </c>
      <c r="D13" s="98" t="s">
        <v>177</v>
      </c>
      <c r="E13" s="179"/>
      <c r="F13" s="179"/>
      <c r="G13" s="179"/>
      <c r="H13" s="179"/>
      <c r="I13" s="179"/>
    </row>
    <row r="14" spans="1:10" ht="32.25" thickBot="1" x14ac:dyDescent="0.3">
      <c r="A14" s="11">
        <f t="shared" si="0"/>
        <v>4</v>
      </c>
      <c r="B14" s="293" t="s">
        <v>281</v>
      </c>
      <c r="C14" s="294">
        <v>0.8</v>
      </c>
      <c r="D14" s="98" t="s">
        <v>8</v>
      </c>
      <c r="E14" s="179"/>
      <c r="F14" s="179"/>
      <c r="G14" s="179"/>
      <c r="H14" s="179"/>
      <c r="I14" s="179"/>
    </row>
    <row r="15" spans="1:10" ht="15" customHeight="1" thickBot="1" x14ac:dyDescent="0.3">
      <c r="A15" s="434" t="s">
        <v>282</v>
      </c>
      <c r="B15" s="435"/>
      <c r="C15" s="435"/>
      <c r="D15" s="436"/>
      <c r="E15" s="312"/>
      <c r="F15" s="313"/>
      <c r="G15" s="313"/>
      <c r="H15" s="313"/>
      <c r="I15" s="314"/>
    </row>
    <row r="16" spans="1:10" ht="31.5" x14ac:dyDescent="0.25">
      <c r="A16" s="11">
        <v>1</v>
      </c>
      <c r="B16" s="293" t="s">
        <v>191</v>
      </c>
      <c r="C16" s="294">
        <v>2.6</v>
      </c>
      <c r="D16" s="98" t="s">
        <v>114</v>
      </c>
      <c r="E16" s="179"/>
      <c r="F16" s="179"/>
      <c r="G16" s="179"/>
      <c r="H16" s="179"/>
      <c r="I16" s="179"/>
    </row>
    <row r="17" spans="1:9" ht="32.25" thickBot="1" x14ac:dyDescent="0.3">
      <c r="A17" s="11">
        <f>A16+1</f>
        <v>2</v>
      </c>
      <c r="B17" s="293" t="s">
        <v>193</v>
      </c>
      <c r="C17" s="294">
        <v>58</v>
      </c>
      <c r="D17" s="98" t="s">
        <v>114</v>
      </c>
      <c r="E17" s="179"/>
      <c r="F17" s="179"/>
      <c r="G17" s="179"/>
      <c r="H17" s="179"/>
      <c r="I17" s="179"/>
    </row>
    <row r="18" spans="1:9" ht="15" customHeight="1" thickBot="1" x14ac:dyDescent="0.3">
      <c r="A18" s="434" t="s">
        <v>199</v>
      </c>
      <c r="B18" s="435"/>
      <c r="C18" s="435"/>
      <c r="D18" s="436"/>
      <c r="E18" s="312"/>
      <c r="F18" s="313"/>
      <c r="G18" s="313"/>
      <c r="H18" s="313"/>
      <c r="I18" s="314"/>
    </row>
    <row r="19" spans="1:9" ht="35.25" thickBot="1" x14ac:dyDescent="0.3">
      <c r="A19" s="11">
        <v>1</v>
      </c>
      <c r="B19" s="293" t="s">
        <v>283</v>
      </c>
      <c r="C19" s="294">
        <v>15.2</v>
      </c>
      <c r="D19" s="98" t="s">
        <v>114</v>
      </c>
      <c r="E19" s="179"/>
      <c r="F19" s="179"/>
      <c r="G19" s="179"/>
      <c r="H19" s="179"/>
      <c r="I19" s="179"/>
    </row>
    <row r="20" spans="1:9" ht="15" customHeight="1" thickBot="1" x14ac:dyDescent="0.3">
      <c r="A20" s="434" t="s">
        <v>242</v>
      </c>
      <c r="B20" s="435"/>
      <c r="C20" s="435"/>
      <c r="D20" s="436"/>
      <c r="E20" s="312"/>
      <c r="F20" s="313"/>
      <c r="G20" s="313"/>
      <c r="H20" s="313"/>
      <c r="I20" s="314"/>
    </row>
    <row r="21" spans="1:9" ht="173.25" x14ac:dyDescent="0.25">
      <c r="A21" s="11">
        <v>1</v>
      </c>
      <c r="B21" s="293" t="s">
        <v>987</v>
      </c>
      <c r="C21" s="294">
        <v>23</v>
      </c>
      <c r="D21" s="98" t="s">
        <v>114</v>
      </c>
      <c r="E21" s="179"/>
      <c r="F21" s="179"/>
      <c r="G21" s="179"/>
      <c r="H21" s="179"/>
      <c r="I21" s="179"/>
    </row>
    <row r="22" spans="1:9" ht="157.5" x14ac:dyDescent="0.25">
      <c r="A22" s="11">
        <f t="shared" ref="A22:A23" si="1">A21+1</f>
        <v>2</v>
      </c>
      <c r="B22" s="293" t="s">
        <v>988</v>
      </c>
      <c r="C22" s="294">
        <v>0.8</v>
      </c>
      <c r="D22" s="98" t="s">
        <v>114</v>
      </c>
      <c r="E22" s="179"/>
      <c r="F22" s="179"/>
      <c r="G22" s="179"/>
      <c r="H22" s="179"/>
      <c r="I22" s="179"/>
    </row>
    <row r="23" spans="1:9" ht="48" thickBot="1" x14ac:dyDescent="0.3">
      <c r="A23" s="11">
        <f t="shared" si="1"/>
        <v>3</v>
      </c>
      <c r="B23" s="65" t="s">
        <v>906</v>
      </c>
      <c r="C23" s="294">
        <v>3.2</v>
      </c>
      <c r="D23" s="98" t="s">
        <v>114</v>
      </c>
      <c r="E23" s="179"/>
      <c r="F23" s="179"/>
      <c r="G23" s="179"/>
      <c r="H23" s="179"/>
      <c r="I23" s="179"/>
    </row>
    <row r="24" spans="1:9" ht="15" customHeight="1" thickBot="1" x14ac:dyDescent="0.3">
      <c r="A24" s="434" t="s">
        <v>212</v>
      </c>
      <c r="B24" s="435"/>
      <c r="C24" s="435"/>
      <c r="D24" s="436"/>
      <c r="E24" s="312"/>
      <c r="F24" s="313"/>
      <c r="G24" s="313"/>
      <c r="H24" s="313"/>
      <c r="I24" s="314"/>
    </row>
    <row r="25" spans="1:9" ht="31.5" x14ac:dyDescent="0.25">
      <c r="A25" s="11">
        <v>1</v>
      </c>
      <c r="B25" s="293" t="s">
        <v>284</v>
      </c>
      <c r="C25" s="294">
        <v>7.2</v>
      </c>
      <c r="D25" s="98" t="s">
        <v>114</v>
      </c>
      <c r="E25" s="179"/>
      <c r="F25" s="179"/>
      <c r="G25" s="179"/>
      <c r="H25" s="179"/>
      <c r="I25" s="179"/>
    </row>
    <row r="26" spans="1:9" ht="19.5" thickBot="1" x14ac:dyDescent="0.3">
      <c r="A26" s="11">
        <f>A25+1</f>
        <v>2</v>
      </c>
      <c r="B26" s="293" t="s">
        <v>285</v>
      </c>
      <c r="C26" s="294">
        <v>23</v>
      </c>
      <c r="D26" s="98" t="s">
        <v>114</v>
      </c>
      <c r="E26" s="179"/>
      <c r="F26" s="179"/>
      <c r="G26" s="179"/>
      <c r="H26" s="179"/>
      <c r="I26" s="179"/>
    </row>
    <row r="27" spans="1:9" ht="15" customHeight="1" thickBot="1" x14ac:dyDescent="0.3">
      <c r="A27" s="434" t="s">
        <v>215</v>
      </c>
      <c r="B27" s="435"/>
      <c r="C27" s="435"/>
      <c r="D27" s="436"/>
      <c r="E27" s="312"/>
      <c r="F27" s="313"/>
      <c r="G27" s="313"/>
      <c r="H27" s="313"/>
      <c r="I27" s="314"/>
    </row>
    <row r="28" spans="1:9" ht="47.25" x14ac:dyDescent="0.25">
      <c r="A28" s="11">
        <v>1</v>
      </c>
      <c r="B28" s="293" t="s">
        <v>907</v>
      </c>
      <c r="C28" s="294">
        <v>11.6</v>
      </c>
      <c r="D28" s="98" t="s">
        <v>168</v>
      </c>
      <c r="E28" s="179"/>
      <c r="F28" s="179"/>
      <c r="G28" s="179"/>
      <c r="H28" s="179"/>
      <c r="I28" s="179"/>
    </row>
    <row r="29" spans="1:9" ht="63" x14ac:dyDescent="0.25">
      <c r="A29" s="11">
        <f t="shared" ref="A29:A30" si="2">A28+1</f>
        <v>2</v>
      </c>
      <c r="B29" s="293" t="s">
        <v>908</v>
      </c>
      <c r="C29" s="294">
        <v>21.5</v>
      </c>
      <c r="D29" s="98" t="s">
        <v>114</v>
      </c>
      <c r="E29" s="179"/>
      <c r="F29" s="179"/>
      <c r="G29" s="179"/>
      <c r="H29" s="179"/>
      <c r="I29" s="179"/>
    </row>
    <row r="30" spans="1:9" ht="48" thickBot="1" x14ac:dyDescent="0.3">
      <c r="A30" s="11">
        <f t="shared" si="2"/>
        <v>3</v>
      </c>
      <c r="B30" s="293" t="s">
        <v>909</v>
      </c>
      <c r="C30" s="294">
        <v>2.9</v>
      </c>
      <c r="D30" s="98" t="s">
        <v>168</v>
      </c>
      <c r="E30" s="179"/>
      <c r="F30" s="179"/>
      <c r="G30" s="179"/>
      <c r="H30" s="179"/>
      <c r="I30" s="179"/>
    </row>
    <row r="31" spans="1:9" ht="15" customHeight="1" thickBot="1" x14ac:dyDescent="0.3">
      <c r="A31" s="434" t="s">
        <v>225</v>
      </c>
      <c r="B31" s="435"/>
      <c r="C31" s="435"/>
      <c r="D31" s="436"/>
      <c r="E31" s="312"/>
      <c r="F31" s="313"/>
      <c r="G31" s="313"/>
      <c r="H31" s="313"/>
      <c r="I31" s="314"/>
    </row>
    <row r="32" spans="1:9" ht="47.25" x14ac:dyDescent="0.25">
      <c r="A32" s="11">
        <v>1</v>
      </c>
      <c r="B32" s="293" t="s">
        <v>910</v>
      </c>
      <c r="C32" s="294">
        <v>2</v>
      </c>
      <c r="D32" s="98" t="s">
        <v>24</v>
      </c>
      <c r="E32" s="180"/>
      <c r="F32" s="180"/>
      <c r="G32" s="180"/>
      <c r="H32" s="180"/>
      <c r="I32" s="180"/>
    </row>
  </sheetData>
  <mergeCells count="17">
    <mergeCell ref="G1:I1"/>
    <mergeCell ref="A1:A2"/>
    <mergeCell ref="B1:B2"/>
    <mergeCell ref="C1:C2"/>
    <mergeCell ref="D1:D2"/>
    <mergeCell ref="E1:F1"/>
    <mergeCell ref="A31:D31"/>
    <mergeCell ref="A27:D27"/>
    <mergeCell ref="A24:D24"/>
    <mergeCell ref="A20:D20"/>
    <mergeCell ref="A18:D18"/>
    <mergeCell ref="A3:D3"/>
    <mergeCell ref="A4:D4"/>
    <mergeCell ref="A5:D5"/>
    <mergeCell ref="A6:D6"/>
    <mergeCell ref="A15:D15"/>
    <mergeCell ref="A10:D10"/>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3.1.4. Hulladéktároló építészet-szerkezet&amp;R&amp;"Times New Roman,Normál"&amp;9Mennyiségi kiírás (IV. kötet)</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40" zoomScaleNormal="100" workbookViewId="0">
      <selection activeCell="A49" sqref="A49"/>
    </sheetView>
  </sheetViews>
  <sheetFormatPr defaultColWidth="9.140625" defaultRowHeight="15" x14ac:dyDescent="0.25"/>
  <cols>
    <col min="1" max="1" width="6" style="201" customWidth="1"/>
    <col min="2" max="2" width="60.7109375" style="201" customWidth="1"/>
    <col min="3" max="3" width="10.7109375" style="201" customWidth="1"/>
    <col min="4" max="4" width="6.7109375" style="201" customWidth="1"/>
    <col min="5" max="8" width="8.7109375" style="201" customWidth="1"/>
    <col min="9" max="9" width="10.42578125" style="201" customWidth="1"/>
    <col min="10" max="16384" width="9.140625" style="201"/>
  </cols>
  <sheetData>
    <row r="1" spans="1:10" ht="15.75" customHeight="1" x14ac:dyDescent="0.25">
      <c r="A1" s="399" t="s">
        <v>265</v>
      </c>
      <c r="B1" s="371" t="s">
        <v>262</v>
      </c>
      <c r="C1" s="371" t="s">
        <v>263</v>
      </c>
      <c r="D1" s="371" t="s">
        <v>264</v>
      </c>
      <c r="E1" s="371" t="s">
        <v>666</v>
      </c>
      <c r="F1" s="371"/>
      <c r="G1" s="371" t="s">
        <v>667</v>
      </c>
      <c r="H1" s="371"/>
      <c r="I1" s="372"/>
    </row>
    <row r="2" spans="1:10" ht="15.75" customHeight="1" thickBot="1" x14ac:dyDescent="0.3">
      <c r="A2" s="400"/>
      <c r="B2" s="375"/>
      <c r="C2" s="375"/>
      <c r="D2" s="375"/>
      <c r="E2" s="273" t="s">
        <v>668</v>
      </c>
      <c r="F2" s="273" t="s">
        <v>669</v>
      </c>
      <c r="G2" s="273" t="s">
        <v>668</v>
      </c>
      <c r="H2" s="273" t="s">
        <v>669</v>
      </c>
      <c r="I2" s="112" t="s">
        <v>670</v>
      </c>
    </row>
    <row r="3" spans="1:10" ht="15.75" x14ac:dyDescent="0.25">
      <c r="A3" s="422" t="s">
        <v>174</v>
      </c>
      <c r="B3" s="422"/>
      <c r="C3" s="422"/>
      <c r="D3" s="422"/>
      <c r="E3" s="326"/>
      <c r="F3" s="327"/>
      <c r="G3" s="327"/>
      <c r="H3" s="327"/>
      <c r="I3" s="328"/>
    </row>
    <row r="4" spans="1:10" ht="16.5" thickBot="1" x14ac:dyDescent="0.3">
      <c r="A4" s="415" t="s">
        <v>328</v>
      </c>
      <c r="B4" s="415"/>
      <c r="C4" s="415"/>
      <c r="D4" s="416"/>
      <c r="E4" s="309"/>
      <c r="F4" s="310"/>
      <c r="G4" s="310"/>
      <c r="H4" s="310"/>
      <c r="I4" s="311"/>
    </row>
    <row r="5" spans="1:10" ht="16.5" thickBot="1" x14ac:dyDescent="0.3">
      <c r="A5" s="437" t="s">
        <v>611</v>
      </c>
      <c r="B5" s="438"/>
      <c r="C5" s="438"/>
      <c r="D5" s="438"/>
      <c r="E5" s="312"/>
      <c r="F5" s="313"/>
      <c r="G5" s="313"/>
      <c r="H5" s="313"/>
      <c r="I5" s="314"/>
    </row>
    <row r="6" spans="1:10" ht="31.5" x14ac:dyDescent="0.25">
      <c r="A6" s="56">
        <v>1</v>
      </c>
      <c r="B6" s="29" t="s">
        <v>576</v>
      </c>
      <c r="C6" s="31">
        <v>1</v>
      </c>
      <c r="D6" s="329" t="s">
        <v>24</v>
      </c>
      <c r="E6" s="179"/>
      <c r="F6" s="179"/>
      <c r="G6" s="179"/>
      <c r="H6" s="179"/>
      <c r="I6" s="179"/>
    </row>
    <row r="7" spans="1:10" ht="47.25" x14ac:dyDescent="0.25">
      <c r="A7" s="56">
        <f>A6+1</f>
        <v>2</v>
      </c>
      <c r="B7" s="29" t="s">
        <v>578</v>
      </c>
      <c r="C7" s="31">
        <v>105</v>
      </c>
      <c r="D7" s="329" t="s">
        <v>168</v>
      </c>
      <c r="E7" s="179"/>
      <c r="F7" s="179"/>
      <c r="G7" s="179"/>
      <c r="H7" s="179"/>
      <c r="I7" s="179"/>
      <c r="J7" s="18"/>
    </row>
    <row r="8" spans="1:10" ht="31.5" x14ac:dyDescent="0.25">
      <c r="A8" s="56">
        <f t="shared" ref="A8:A13" si="0">A7+1</f>
        <v>3</v>
      </c>
      <c r="B8" s="29" t="s">
        <v>580</v>
      </c>
      <c r="C8" s="31">
        <v>490</v>
      </c>
      <c r="D8" s="28" t="s">
        <v>168</v>
      </c>
      <c r="E8" s="179"/>
      <c r="F8" s="179"/>
      <c r="G8" s="179"/>
      <c r="H8" s="179"/>
      <c r="I8" s="179"/>
    </row>
    <row r="9" spans="1:10" ht="31.5" x14ac:dyDescent="0.25">
      <c r="A9" s="56">
        <f t="shared" si="0"/>
        <v>4</v>
      </c>
      <c r="B9" s="29" t="s">
        <v>582</v>
      </c>
      <c r="C9" s="31">
        <v>3</v>
      </c>
      <c r="D9" s="28" t="s">
        <v>24</v>
      </c>
      <c r="E9" s="179"/>
      <c r="F9" s="179"/>
      <c r="G9" s="179"/>
      <c r="H9" s="179"/>
      <c r="I9" s="179"/>
    </row>
    <row r="10" spans="1:10" ht="15.75" customHeight="1" x14ac:dyDescent="0.25">
      <c r="A10" s="56">
        <f t="shared" si="0"/>
        <v>5</v>
      </c>
      <c r="B10" s="29" t="s">
        <v>584</v>
      </c>
      <c r="C10" s="31">
        <v>15</v>
      </c>
      <c r="D10" s="28" t="s">
        <v>168</v>
      </c>
      <c r="E10" s="179"/>
      <c r="F10" s="179"/>
      <c r="G10" s="179"/>
      <c r="H10" s="179"/>
      <c r="I10" s="179"/>
    </row>
    <row r="11" spans="1:10" ht="31.5" x14ac:dyDescent="0.25">
      <c r="A11" s="56">
        <f t="shared" si="0"/>
        <v>6</v>
      </c>
      <c r="B11" s="29" t="s">
        <v>586</v>
      </c>
      <c r="C11" s="31">
        <v>1</v>
      </c>
      <c r="D11" s="28" t="s">
        <v>24</v>
      </c>
      <c r="E11" s="179"/>
      <c r="F11" s="179"/>
      <c r="G11" s="179"/>
      <c r="H11" s="179"/>
      <c r="I11" s="179"/>
    </row>
    <row r="12" spans="1:10" ht="15.75" x14ac:dyDescent="0.25">
      <c r="A12" s="56">
        <f t="shared" si="0"/>
        <v>7</v>
      </c>
      <c r="B12" s="29" t="s">
        <v>588</v>
      </c>
      <c r="C12" s="31">
        <v>1</v>
      </c>
      <c r="D12" s="28" t="s">
        <v>24</v>
      </c>
      <c r="E12" s="179"/>
      <c r="F12" s="179"/>
      <c r="G12" s="179"/>
      <c r="H12" s="179"/>
      <c r="I12" s="179"/>
    </row>
    <row r="13" spans="1:10" ht="16.5" thickBot="1" x14ac:dyDescent="0.3">
      <c r="A13" s="11">
        <f t="shared" si="0"/>
        <v>8</v>
      </c>
      <c r="B13" s="67" t="s">
        <v>590</v>
      </c>
      <c r="C13" s="97">
        <v>610</v>
      </c>
      <c r="D13" s="98" t="s">
        <v>168</v>
      </c>
      <c r="E13" s="179"/>
      <c r="F13" s="179"/>
      <c r="G13" s="179"/>
      <c r="H13" s="179"/>
      <c r="I13" s="179"/>
    </row>
    <row r="14" spans="1:10" ht="16.5" thickBot="1" x14ac:dyDescent="0.3">
      <c r="A14" s="434" t="s">
        <v>612</v>
      </c>
      <c r="B14" s="435"/>
      <c r="C14" s="435"/>
      <c r="D14" s="436"/>
      <c r="E14" s="312"/>
      <c r="F14" s="313"/>
      <c r="G14" s="313"/>
      <c r="H14" s="313"/>
      <c r="I14" s="314"/>
    </row>
    <row r="15" spans="1:10" ht="47.25" x14ac:dyDescent="0.25">
      <c r="A15" s="56">
        <v>1</v>
      </c>
      <c r="B15" s="29" t="s">
        <v>591</v>
      </c>
      <c r="C15" s="31">
        <v>1</v>
      </c>
      <c r="D15" s="28" t="s">
        <v>24</v>
      </c>
      <c r="E15" s="180"/>
      <c r="F15" s="180"/>
      <c r="G15" s="180"/>
      <c r="H15" s="180"/>
      <c r="I15" s="324"/>
    </row>
    <row r="16" spans="1:10" ht="47.25" x14ac:dyDescent="0.25">
      <c r="A16" s="56">
        <v>2</v>
      </c>
      <c r="B16" s="29" t="s">
        <v>592</v>
      </c>
      <c r="C16" s="31">
        <v>507</v>
      </c>
      <c r="D16" s="28" t="s">
        <v>168</v>
      </c>
      <c r="E16" s="179"/>
      <c r="F16" s="179"/>
      <c r="G16" s="179"/>
      <c r="H16" s="179"/>
      <c r="I16" s="179"/>
    </row>
    <row r="17" spans="1:9" ht="31.5" x14ac:dyDescent="0.25">
      <c r="A17" s="56">
        <v>3</v>
      </c>
      <c r="B17" s="29" t="s">
        <v>593</v>
      </c>
      <c r="C17" s="31">
        <v>490</v>
      </c>
      <c r="D17" s="28" t="s">
        <v>168</v>
      </c>
      <c r="E17" s="179"/>
      <c r="F17" s="179"/>
      <c r="G17" s="179"/>
      <c r="H17" s="179"/>
      <c r="I17" s="179"/>
    </row>
    <row r="18" spans="1:9" ht="31.5" x14ac:dyDescent="0.25">
      <c r="A18" s="56">
        <v>4</v>
      </c>
      <c r="B18" s="29" t="s">
        <v>594</v>
      </c>
      <c r="C18" s="31">
        <v>3</v>
      </c>
      <c r="D18" s="28" t="s">
        <v>24</v>
      </c>
      <c r="E18" s="179"/>
      <c r="F18" s="179"/>
      <c r="G18" s="179"/>
      <c r="H18" s="179"/>
      <c r="I18" s="179"/>
    </row>
    <row r="19" spans="1:9" ht="31.5" x14ac:dyDescent="0.25">
      <c r="A19" s="11">
        <f t="shared" ref="A19:A27" si="1">A18+1</f>
        <v>5</v>
      </c>
      <c r="B19" s="67" t="s">
        <v>595</v>
      </c>
      <c r="C19" s="97">
        <v>1</v>
      </c>
      <c r="D19" s="98" t="s">
        <v>24</v>
      </c>
      <c r="E19" s="179"/>
      <c r="F19" s="179"/>
      <c r="G19" s="179"/>
      <c r="H19" s="179"/>
      <c r="I19" s="179"/>
    </row>
    <row r="20" spans="1:9" ht="31.5" x14ac:dyDescent="0.25">
      <c r="A20" s="56">
        <f t="shared" si="1"/>
        <v>6</v>
      </c>
      <c r="B20" s="29" t="s">
        <v>596</v>
      </c>
      <c r="C20" s="31">
        <v>45</v>
      </c>
      <c r="D20" s="28" t="s">
        <v>114</v>
      </c>
      <c r="E20" s="179"/>
      <c r="F20" s="179"/>
      <c r="G20" s="179"/>
      <c r="H20" s="179"/>
      <c r="I20" s="179"/>
    </row>
    <row r="21" spans="1:9" ht="15.75" x14ac:dyDescent="0.25">
      <c r="A21" s="56">
        <f t="shared" si="1"/>
        <v>7</v>
      </c>
      <c r="B21" s="29" t="s">
        <v>597</v>
      </c>
      <c r="C21" s="31">
        <v>200</v>
      </c>
      <c r="D21" s="28" t="s">
        <v>168</v>
      </c>
      <c r="E21" s="179"/>
      <c r="F21" s="179"/>
      <c r="G21" s="179"/>
      <c r="H21" s="179"/>
      <c r="I21" s="179"/>
    </row>
    <row r="22" spans="1:9" ht="15.75" x14ac:dyDescent="0.25">
      <c r="A22" s="56">
        <f t="shared" si="1"/>
        <v>8</v>
      </c>
      <c r="B22" s="29" t="s">
        <v>598</v>
      </c>
      <c r="C22" s="31">
        <v>997</v>
      </c>
      <c r="D22" s="28" t="s">
        <v>168</v>
      </c>
      <c r="E22" s="179"/>
      <c r="F22" s="179"/>
      <c r="G22" s="179"/>
      <c r="H22" s="179"/>
      <c r="I22" s="179"/>
    </row>
    <row r="23" spans="1:9" ht="47.25" x14ac:dyDescent="0.25">
      <c r="A23" s="56">
        <f t="shared" si="1"/>
        <v>9</v>
      </c>
      <c r="B23" s="29" t="s">
        <v>600</v>
      </c>
      <c r="C23" s="31">
        <v>60</v>
      </c>
      <c r="D23" s="28" t="s">
        <v>168</v>
      </c>
      <c r="E23" s="179"/>
      <c r="F23" s="179"/>
      <c r="G23" s="179"/>
      <c r="H23" s="179"/>
      <c r="I23" s="179"/>
    </row>
    <row r="24" spans="1:9" ht="47.25" x14ac:dyDescent="0.25">
      <c r="A24" s="11">
        <f t="shared" si="1"/>
        <v>10</v>
      </c>
      <c r="B24" s="67" t="s">
        <v>602</v>
      </c>
      <c r="C24" s="97">
        <v>4</v>
      </c>
      <c r="D24" s="98" t="s">
        <v>24</v>
      </c>
      <c r="E24" s="179"/>
      <c r="F24" s="179"/>
      <c r="G24" s="179"/>
      <c r="H24" s="179"/>
      <c r="I24" s="179"/>
    </row>
    <row r="25" spans="1:9" ht="31.5" x14ac:dyDescent="0.25">
      <c r="A25" s="56">
        <f t="shared" si="1"/>
        <v>11</v>
      </c>
      <c r="B25" s="29" t="s">
        <v>604</v>
      </c>
      <c r="C25" s="31">
        <v>1</v>
      </c>
      <c r="D25" s="28" t="s">
        <v>24</v>
      </c>
      <c r="E25" s="179"/>
      <c r="F25" s="179"/>
      <c r="G25" s="179"/>
      <c r="H25" s="179"/>
      <c r="I25" s="179"/>
    </row>
    <row r="26" spans="1:9" ht="47.25" x14ac:dyDescent="0.25">
      <c r="A26" s="56">
        <f t="shared" si="1"/>
        <v>12</v>
      </c>
      <c r="B26" s="29" t="s">
        <v>984</v>
      </c>
      <c r="C26" s="31">
        <v>1</v>
      </c>
      <c r="D26" s="28" t="s">
        <v>24</v>
      </c>
      <c r="E26" s="179"/>
      <c r="F26" s="179"/>
      <c r="G26" s="179"/>
      <c r="H26" s="179"/>
      <c r="I26" s="179"/>
    </row>
    <row r="27" spans="1:9" ht="15.75" x14ac:dyDescent="0.25">
      <c r="A27" s="11">
        <f t="shared" si="1"/>
        <v>13</v>
      </c>
      <c r="B27" s="67" t="s">
        <v>605</v>
      </c>
      <c r="C27" s="97">
        <v>60</v>
      </c>
      <c r="D27" s="98" t="s">
        <v>168</v>
      </c>
      <c r="E27" s="179"/>
      <c r="F27" s="179"/>
      <c r="G27" s="179"/>
      <c r="H27" s="179"/>
      <c r="I27" s="179"/>
    </row>
    <row r="28" spans="1:9" ht="16.5" thickBot="1" x14ac:dyDescent="0.3">
      <c r="A28" s="12"/>
      <c r="B28" s="330"/>
      <c r="C28" s="33"/>
      <c r="D28" s="17"/>
    </row>
    <row r="29" spans="1:9" ht="16.5" thickBot="1" x14ac:dyDescent="0.3">
      <c r="A29" s="434" t="s">
        <v>613</v>
      </c>
      <c r="B29" s="435"/>
      <c r="C29" s="435"/>
      <c r="D29" s="436"/>
      <c r="E29" s="312"/>
      <c r="F29" s="313"/>
      <c r="G29" s="313"/>
      <c r="H29" s="313"/>
      <c r="I29" s="314"/>
    </row>
    <row r="30" spans="1:9" ht="47.25" x14ac:dyDescent="0.25">
      <c r="A30" s="56">
        <v>1</v>
      </c>
      <c r="B30" s="331" t="s">
        <v>606</v>
      </c>
      <c r="C30" s="263">
        <v>490</v>
      </c>
      <c r="D30" s="332" t="s">
        <v>168</v>
      </c>
      <c r="E30" s="180"/>
      <c r="F30" s="180"/>
      <c r="G30" s="180"/>
      <c r="H30" s="180"/>
      <c r="I30" s="324"/>
    </row>
    <row r="31" spans="1:9" ht="16.5" thickBot="1" x14ac:dyDescent="0.3">
      <c r="A31" s="12"/>
      <c r="B31" s="333"/>
      <c r="C31" s="334"/>
      <c r="D31" s="335"/>
    </row>
    <row r="32" spans="1:9" ht="16.5" thickBot="1" x14ac:dyDescent="0.3">
      <c r="A32" s="434" t="s">
        <v>614</v>
      </c>
      <c r="B32" s="435"/>
      <c r="C32" s="435"/>
      <c r="D32" s="436"/>
      <c r="E32" s="312"/>
      <c r="F32" s="313"/>
      <c r="G32" s="313"/>
      <c r="H32" s="313"/>
      <c r="I32" s="314"/>
    </row>
    <row r="33" spans="1:9" ht="63" x14ac:dyDescent="0.25">
      <c r="A33" s="56">
        <v>1</v>
      </c>
      <c r="B33" s="331" t="s">
        <v>985</v>
      </c>
      <c r="C33" s="263">
        <v>1</v>
      </c>
      <c r="D33" s="332" t="s">
        <v>24</v>
      </c>
      <c r="E33" s="180"/>
      <c r="F33" s="180"/>
      <c r="G33" s="180"/>
      <c r="H33" s="180"/>
      <c r="I33" s="324"/>
    </row>
    <row r="34" spans="1:9" ht="31.5" x14ac:dyDescent="0.25">
      <c r="A34" s="11">
        <f>A33+1</f>
        <v>2</v>
      </c>
      <c r="B34" s="76" t="s">
        <v>607</v>
      </c>
      <c r="C34" s="336">
        <v>1</v>
      </c>
      <c r="D34" s="336" t="s">
        <v>24</v>
      </c>
      <c r="E34" s="179"/>
      <c r="F34" s="179"/>
      <c r="G34" s="179"/>
      <c r="H34" s="179"/>
      <c r="I34" s="179"/>
    </row>
    <row r="35" spans="1:9" ht="32.25" thickBot="1" x14ac:dyDescent="0.3">
      <c r="A35" s="11">
        <f>A34+1</f>
        <v>3</v>
      </c>
      <c r="B35" s="76" t="s">
        <v>608</v>
      </c>
      <c r="C35" s="336">
        <v>1</v>
      </c>
      <c r="D35" s="336" t="s">
        <v>24</v>
      </c>
      <c r="E35" s="179"/>
      <c r="F35" s="179"/>
      <c r="G35" s="179"/>
      <c r="H35" s="179"/>
      <c r="I35" s="325"/>
    </row>
    <row r="36" spans="1:9" ht="16.5" thickBot="1" x14ac:dyDescent="0.3">
      <c r="A36" s="434" t="s">
        <v>615</v>
      </c>
      <c r="B36" s="435"/>
      <c r="C36" s="435"/>
      <c r="D36" s="436"/>
      <c r="E36" s="312"/>
      <c r="F36" s="313"/>
      <c r="G36" s="313"/>
      <c r="H36" s="313"/>
      <c r="I36" s="314"/>
    </row>
    <row r="37" spans="1:9" ht="47.25" x14ac:dyDescent="0.25">
      <c r="A37" s="56">
        <v>1</v>
      </c>
      <c r="B37" s="331" t="s">
        <v>609</v>
      </c>
      <c r="C37" s="263">
        <v>670</v>
      </c>
      <c r="D37" s="332" t="s">
        <v>168</v>
      </c>
      <c r="E37" s="180"/>
      <c r="F37" s="180"/>
      <c r="G37" s="180"/>
      <c r="H37" s="180"/>
      <c r="I37" s="324"/>
    </row>
    <row r="38" spans="1:9" ht="31.5" x14ac:dyDescent="0.25">
      <c r="A38" s="56">
        <f>A37+1</f>
        <v>2</v>
      </c>
      <c r="B38" s="76" t="s">
        <v>980</v>
      </c>
      <c r="C38" s="336">
        <v>1</v>
      </c>
      <c r="D38" s="336" t="s">
        <v>24</v>
      </c>
      <c r="E38" s="179"/>
      <c r="F38" s="179"/>
      <c r="G38" s="179"/>
      <c r="H38" s="179"/>
      <c r="I38" s="179"/>
    </row>
    <row r="39" spans="1:9" ht="47.25" x14ac:dyDescent="0.25">
      <c r="A39" s="56">
        <f>A38+1</f>
        <v>3</v>
      </c>
      <c r="B39" s="337" t="s">
        <v>981</v>
      </c>
      <c r="C39" s="338">
        <v>1</v>
      </c>
      <c r="D39" s="338" t="s">
        <v>24</v>
      </c>
      <c r="E39" s="179"/>
      <c r="F39" s="179"/>
      <c r="G39" s="179"/>
      <c r="H39" s="179"/>
      <c r="I39" s="179"/>
    </row>
    <row r="40" spans="1:9" ht="34.5" x14ac:dyDescent="0.25">
      <c r="A40" s="56">
        <f>A39+1</f>
        <v>4</v>
      </c>
      <c r="B40" s="337" t="s">
        <v>983</v>
      </c>
      <c r="C40" s="338">
        <v>1</v>
      </c>
      <c r="D40" s="338" t="s">
        <v>24</v>
      </c>
      <c r="E40" s="179"/>
      <c r="F40" s="179"/>
      <c r="G40" s="179"/>
      <c r="H40" s="179"/>
      <c r="I40" s="179"/>
    </row>
    <row r="41" spans="1:9" ht="31.5" x14ac:dyDescent="0.25">
      <c r="A41" s="56">
        <f>A40+1</f>
        <v>5</v>
      </c>
      <c r="B41" s="76" t="s">
        <v>982</v>
      </c>
      <c r="C41" s="336" t="s">
        <v>610</v>
      </c>
      <c r="D41" s="336"/>
      <c r="E41" s="179"/>
      <c r="F41" s="179"/>
      <c r="G41" s="179"/>
      <c r="H41" s="179"/>
      <c r="I41" s="179"/>
    </row>
  </sheetData>
  <mergeCells count="13">
    <mergeCell ref="G1:I1"/>
    <mergeCell ref="A1:A2"/>
    <mergeCell ref="B1:B2"/>
    <mergeCell ref="C1:C2"/>
    <mergeCell ref="D1:D2"/>
    <mergeCell ref="E1:F1"/>
    <mergeCell ref="A14:D14"/>
    <mergeCell ref="A29:D29"/>
    <mergeCell ref="A32:D32"/>
    <mergeCell ref="A36:D36"/>
    <mergeCell ref="A3:D3"/>
    <mergeCell ref="A4:D4"/>
    <mergeCell ref="A5:D5"/>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3.2. Víziközművek&amp;R&amp;"Times New Roman,Normál"&amp;9Mennyiségi kiírás (IV. kötet)</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A19" sqref="A19:XFD1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140625" style="8"/>
  </cols>
  <sheetData>
    <row r="1" spans="1:10" ht="15.75" customHeight="1" x14ac:dyDescent="0.25">
      <c r="A1" s="399" t="s">
        <v>265</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5.75" x14ac:dyDescent="0.25">
      <c r="A3" s="442" t="s">
        <v>174</v>
      </c>
      <c r="B3" s="442"/>
      <c r="C3" s="442"/>
      <c r="D3" s="442"/>
      <c r="E3" s="160"/>
      <c r="F3" s="161"/>
      <c r="G3" s="161"/>
      <c r="H3" s="161"/>
      <c r="I3" s="162"/>
    </row>
    <row r="4" spans="1:10" ht="16.5" thickBot="1" x14ac:dyDescent="0.3">
      <c r="A4" s="443" t="s">
        <v>110</v>
      </c>
      <c r="B4" s="443"/>
      <c r="C4" s="443"/>
      <c r="D4" s="443"/>
      <c r="E4" s="163"/>
      <c r="F4" s="164"/>
      <c r="G4" s="164"/>
      <c r="H4" s="164"/>
      <c r="I4" s="165"/>
    </row>
    <row r="5" spans="1:10" ht="16.5" thickBot="1" x14ac:dyDescent="0.3">
      <c r="A5" s="439" t="s">
        <v>616</v>
      </c>
      <c r="B5" s="440"/>
      <c r="C5" s="440"/>
      <c r="D5" s="440"/>
      <c r="E5" s="137"/>
      <c r="F5" s="138"/>
      <c r="G5" s="138"/>
      <c r="H5" s="138"/>
      <c r="I5" s="139"/>
    </row>
    <row r="6" spans="1:10" ht="18.75" x14ac:dyDescent="0.25">
      <c r="A6" s="74" t="s">
        <v>575</v>
      </c>
      <c r="B6" s="72" t="s">
        <v>617</v>
      </c>
      <c r="C6" s="73">
        <v>14200</v>
      </c>
      <c r="D6" s="125" t="s">
        <v>114</v>
      </c>
      <c r="E6" s="117"/>
      <c r="F6" s="117"/>
      <c r="G6" s="117"/>
      <c r="H6" s="117"/>
      <c r="I6" s="232"/>
    </row>
    <row r="7" spans="1:10" ht="18.75" x14ac:dyDescent="0.25">
      <c r="A7" s="64" t="s">
        <v>577</v>
      </c>
      <c r="B7" s="45" t="s">
        <v>618</v>
      </c>
      <c r="C7" s="75">
        <v>14500</v>
      </c>
      <c r="D7" s="126" t="s">
        <v>114</v>
      </c>
      <c r="E7" s="117"/>
      <c r="F7" s="117"/>
      <c r="G7" s="117"/>
      <c r="H7" s="117"/>
      <c r="I7" s="117"/>
    </row>
    <row r="8" spans="1:10" ht="31.5" x14ac:dyDescent="0.25">
      <c r="A8" s="64" t="s">
        <v>579</v>
      </c>
      <c r="B8" s="80" t="s">
        <v>619</v>
      </c>
      <c r="C8" s="75">
        <v>3350</v>
      </c>
      <c r="D8" s="126" t="s">
        <v>112</v>
      </c>
      <c r="E8" s="117"/>
      <c r="F8" s="117"/>
      <c r="G8" s="117"/>
      <c r="H8" s="117"/>
      <c r="I8" s="117"/>
      <c r="J8" s="166"/>
    </row>
    <row r="9" spans="1:10" ht="31.5" x14ac:dyDescent="0.25">
      <c r="A9" s="64" t="s">
        <v>581</v>
      </c>
      <c r="B9" s="76" t="s">
        <v>630</v>
      </c>
      <c r="C9" s="75">
        <v>800</v>
      </c>
      <c r="D9" s="64" t="s">
        <v>112</v>
      </c>
      <c r="E9" s="117"/>
      <c r="F9" s="117"/>
      <c r="G9" s="117"/>
      <c r="H9" s="117"/>
      <c r="I9" s="117"/>
    </row>
    <row r="10" spans="1:10" ht="31.5" x14ac:dyDescent="0.25">
      <c r="A10" s="64" t="s">
        <v>583</v>
      </c>
      <c r="B10" s="76" t="s">
        <v>620</v>
      </c>
      <c r="C10" s="75">
        <v>3950</v>
      </c>
      <c r="D10" s="64" t="s">
        <v>168</v>
      </c>
      <c r="E10" s="117"/>
      <c r="F10" s="117"/>
      <c r="G10" s="117"/>
      <c r="H10" s="117"/>
      <c r="I10" s="117"/>
    </row>
    <row r="11" spans="1:10" ht="15.75" customHeight="1" x14ac:dyDescent="0.25">
      <c r="A11" s="64" t="s">
        <v>585</v>
      </c>
      <c r="B11" s="76" t="s">
        <v>621</v>
      </c>
      <c r="C11" s="75">
        <v>276.25</v>
      </c>
      <c r="D11" s="64" t="s">
        <v>112</v>
      </c>
      <c r="E11" s="117"/>
      <c r="F11" s="117"/>
      <c r="G11" s="117"/>
      <c r="H11" s="117"/>
      <c r="I11" s="117"/>
    </row>
    <row r="12" spans="1:10" ht="31.5" x14ac:dyDescent="0.25">
      <c r="A12" s="64" t="s">
        <v>587</v>
      </c>
      <c r="B12" s="76" t="s">
        <v>622</v>
      </c>
      <c r="C12" s="75">
        <v>850</v>
      </c>
      <c r="D12" s="64" t="s">
        <v>114</v>
      </c>
      <c r="E12" s="117"/>
      <c r="F12" s="117"/>
      <c r="G12" s="117"/>
      <c r="H12" s="117"/>
      <c r="I12" s="117"/>
    </row>
    <row r="13" spans="1:10" ht="31.5" x14ac:dyDescent="0.25">
      <c r="A13" s="64" t="s">
        <v>589</v>
      </c>
      <c r="B13" s="76" t="s">
        <v>623</v>
      </c>
      <c r="C13" s="75">
        <v>1110</v>
      </c>
      <c r="D13" s="64" t="s">
        <v>112</v>
      </c>
      <c r="E13" s="117"/>
      <c r="F13" s="117"/>
      <c r="G13" s="117"/>
      <c r="H13" s="117"/>
      <c r="I13" s="117"/>
    </row>
    <row r="14" spans="1:10" ht="31.5" x14ac:dyDescent="0.25">
      <c r="A14" s="64" t="s">
        <v>599</v>
      </c>
      <c r="B14" s="76" t="s">
        <v>624</v>
      </c>
      <c r="C14" s="75">
        <v>80</v>
      </c>
      <c r="D14" s="64" t="s">
        <v>114</v>
      </c>
      <c r="E14" s="117"/>
      <c r="F14" s="117"/>
      <c r="G14" s="117"/>
      <c r="H14" s="117"/>
      <c r="I14" s="117"/>
    </row>
    <row r="15" spans="1:10" ht="31.5" x14ac:dyDescent="0.25">
      <c r="A15" s="64" t="s">
        <v>601</v>
      </c>
      <c r="B15" s="76" t="s">
        <v>625</v>
      </c>
      <c r="C15" s="75">
        <v>12</v>
      </c>
      <c r="D15" s="64" t="s">
        <v>24</v>
      </c>
      <c r="E15" s="117"/>
      <c r="F15" s="117"/>
      <c r="G15" s="117"/>
      <c r="H15" s="117"/>
      <c r="I15" s="117"/>
    </row>
    <row r="16" spans="1:10" ht="15.75" x14ac:dyDescent="0.25">
      <c r="A16" s="64" t="s">
        <v>603</v>
      </c>
      <c r="B16" s="76" t="s">
        <v>626</v>
      </c>
      <c r="C16" s="75">
        <v>8</v>
      </c>
      <c r="D16" s="64" t="s">
        <v>24</v>
      </c>
      <c r="E16" s="117"/>
      <c r="F16" s="117"/>
      <c r="G16" s="117"/>
      <c r="H16" s="117"/>
      <c r="I16" s="117"/>
    </row>
    <row r="17" spans="1:9" ht="31.5" x14ac:dyDescent="0.25">
      <c r="A17" s="64" t="s">
        <v>772</v>
      </c>
      <c r="B17" s="76" t="s">
        <v>774</v>
      </c>
      <c r="C17" s="75">
        <v>4</v>
      </c>
      <c r="D17" s="64" t="s">
        <v>24</v>
      </c>
      <c r="E17" s="117"/>
      <c r="F17" s="117"/>
      <c r="G17" s="117"/>
      <c r="H17" s="117"/>
      <c r="I17" s="117"/>
    </row>
    <row r="18" spans="1:9" ht="32.25" thickBot="1" x14ac:dyDescent="0.3">
      <c r="A18" s="237" t="s">
        <v>773</v>
      </c>
      <c r="B18" s="76" t="s">
        <v>775</v>
      </c>
      <c r="C18" s="75">
        <v>2900</v>
      </c>
      <c r="D18" s="64" t="s">
        <v>114</v>
      </c>
      <c r="E18" s="117"/>
      <c r="F18" s="117"/>
      <c r="G18" s="117"/>
      <c r="H18" s="117"/>
      <c r="I18" s="233"/>
    </row>
    <row r="19" spans="1:9" ht="16.5" thickBot="1" x14ac:dyDescent="0.3">
      <c r="A19" s="439" t="s">
        <v>627</v>
      </c>
      <c r="B19" s="440"/>
      <c r="C19" s="440"/>
      <c r="D19" s="441"/>
      <c r="E19" s="137"/>
      <c r="F19" s="138"/>
      <c r="G19" s="138"/>
      <c r="H19" s="138"/>
      <c r="I19" s="139"/>
    </row>
    <row r="20" spans="1:9" ht="18.75" x14ac:dyDescent="0.25">
      <c r="A20" s="74" t="s">
        <v>575</v>
      </c>
      <c r="B20" s="81" t="s">
        <v>628</v>
      </c>
      <c r="C20" s="73">
        <v>210</v>
      </c>
      <c r="D20" s="74" t="s">
        <v>112</v>
      </c>
      <c r="E20" s="132"/>
      <c r="F20" s="132"/>
      <c r="G20" s="132"/>
      <c r="H20" s="132"/>
      <c r="I20" s="232"/>
    </row>
    <row r="21" spans="1:9" ht="31.5" x14ac:dyDescent="0.25">
      <c r="A21" s="64" t="s">
        <v>577</v>
      </c>
      <c r="B21" s="67" t="s">
        <v>629</v>
      </c>
      <c r="C21" s="75">
        <v>210</v>
      </c>
      <c r="D21" s="64" t="s">
        <v>112</v>
      </c>
      <c r="E21" s="117"/>
      <c r="F21" s="117"/>
      <c r="G21" s="117"/>
      <c r="H21" s="117"/>
      <c r="I21" s="117"/>
    </row>
    <row r="22" spans="1:9" ht="18.75" x14ac:dyDescent="0.25">
      <c r="A22" s="64" t="s">
        <v>579</v>
      </c>
      <c r="B22" s="57" t="s">
        <v>617</v>
      </c>
      <c r="C22" s="75">
        <v>840</v>
      </c>
      <c r="D22" s="64" t="s">
        <v>114</v>
      </c>
      <c r="E22" s="117"/>
      <c r="F22" s="117"/>
      <c r="G22" s="117"/>
      <c r="H22" s="117"/>
      <c r="I22" s="117"/>
    </row>
    <row r="23" spans="1:9" ht="18.75" x14ac:dyDescent="0.25">
      <c r="A23" s="64" t="s">
        <v>581</v>
      </c>
      <c r="B23" s="57" t="s">
        <v>618</v>
      </c>
      <c r="C23" s="75">
        <v>840</v>
      </c>
      <c r="D23" s="64" t="s">
        <v>114</v>
      </c>
      <c r="E23" s="117"/>
      <c r="F23" s="117"/>
      <c r="G23" s="117"/>
      <c r="H23" s="117"/>
      <c r="I23" s="117"/>
    </row>
    <row r="24" spans="1:9" ht="31.5" x14ac:dyDescent="0.25">
      <c r="A24" s="64" t="s">
        <v>583</v>
      </c>
      <c r="B24" s="65" t="s">
        <v>619</v>
      </c>
      <c r="C24" s="75">
        <v>140</v>
      </c>
      <c r="D24" s="64" t="s">
        <v>112</v>
      </c>
      <c r="E24" s="117"/>
      <c r="F24" s="117"/>
      <c r="G24" s="117"/>
      <c r="H24" s="117"/>
      <c r="I24" s="117"/>
    </row>
    <row r="25" spans="1:9" ht="31.5" x14ac:dyDescent="0.25">
      <c r="A25" s="64" t="s">
        <v>585</v>
      </c>
      <c r="B25" s="67" t="s">
        <v>630</v>
      </c>
      <c r="C25" s="75">
        <v>33.6</v>
      </c>
      <c r="D25" s="64" t="s">
        <v>112</v>
      </c>
      <c r="E25" s="117"/>
      <c r="F25" s="117"/>
      <c r="G25" s="117"/>
      <c r="H25" s="117"/>
      <c r="I25" s="117"/>
    </row>
    <row r="26" spans="1:9" ht="31.5" x14ac:dyDescent="0.25">
      <c r="A26" s="64" t="s">
        <v>587</v>
      </c>
      <c r="B26" s="67" t="s">
        <v>620</v>
      </c>
      <c r="C26" s="75">
        <v>280</v>
      </c>
      <c r="D26" s="64" t="s">
        <v>168</v>
      </c>
      <c r="E26" s="117"/>
      <c r="F26" s="117"/>
      <c r="G26" s="117"/>
      <c r="H26" s="117"/>
      <c r="I26" s="117"/>
    </row>
    <row r="27" spans="1:9" ht="18.75" x14ac:dyDescent="0.25">
      <c r="A27" s="64" t="s">
        <v>589</v>
      </c>
      <c r="B27" s="67" t="s">
        <v>621</v>
      </c>
      <c r="C27" s="75">
        <v>23.8</v>
      </c>
      <c r="D27" s="64" t="s">
        <v>112</v>
      </c>
      <c r="E27" s="117"/>
      <c r="F27" s="117"/>
      <c r="G27" s="117"/>
      <c r="H27" s="117"/>
      <c r="I27" s="117"/>
    </row>
  </sheetData>
  <mergeCells count="10">
    <mergeCell ref="E1:F1"/>
    <mergeCell ref="G1:I1"/>
    <mergeCell ref="A3:D3"/>
    <mergeCell ref="A4:D4"/>
    <mergeCell ref="A5:D5"/>
    <mergeCell ref="A19:D19"/>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3.3. Útépítés, burkolattal&amp;R&amp;"Times New Roman,Normál"&amp;9Mennyiségi kiírás (IV. kötet)</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21" zoomScaleNormal="100" workbookViewId="0">
      <selection activeCell="M24" sqref="M24"/>
    </sheetView>
  </sheetViews>
  <sheetFormatPr defaultColWidth="9.140625" defaultRowHeight="15.75" x14ac:dyDescent="0.25"/>
  <cols>
    <col min="1" max="1" width="6" style="274" customWidth="1"/>
    <col min="2" max="2" width="60.7109375" style="274" customWidth="1"/>
    <col min="3" max="3" width="10.7109375" style="274" customWidth="1"/>
    <col min="4" max="4" width="6.7109375" style="274" customWidth="1"/>
    <col min="5" max="8" width="8.7109375" style="274" customWidth="1"/>
    <col min="9" max="9" width="10.42578125" style="274" customWidth="1"/>
    <col min="10" max="16384" width="9.140625" style="274"/>
  </cols>
  <sheetData>
    <row r="1" spans="1:9" ht="15.75" customHeight="1" x14ac:dyDescent="0.25">
      <c r="A1" s="399" t="s">
        <v>265</v>
      </c>
      <c r="B1" s="371" t="s">
        <v>262</v>
      </c>
      <c r="C1" s="371" t="s">
        <v>263</v>
      </c>
      <c r="D1" s="371" t="s">
        <v>264</v>
      </c>
      <c r="E1" s="371" t="s">
        <v>666</v>
      </c>
      <c r="F1" s="371"/>
      <c r="G1" s="371" t="s">
        <v>667</v>
      </c>
      <c r="H1" s="371"/>
      <c r="I1" s="372"/>
    </row>
    <row r="2" spans="1:9" ht="15.75" customHeight="1" thickBot="1" x14ac:dyDescent="0.3">
      <c r="A2" s="400"/>
      <c r="B2" s="375"/>
      <c r="C2" s="375"/>
      <c r="D2" s="375"/>
      <c r="E2" s="273" t="s">
        <v>668</v>
      </c>
      <c r="F2" s="273" t="s">
        <v>669</v>
      </c>
      <c r="G2" s="273" t="s">
        <v>668</v>
      </c>
      <c r="H2" s="273" t="s">
        <v>669</v>
      </c>
      <c r="I2" s="112" t="s">
        <v>670</v>
      </c>
    </row>
    <row r="3" spans="1:9" x14ac:dyDescent="0.25">
      <c r="A3" s="422" t="s">
        <v>174</v>
      </c>
      <c r="B3" s="422"/>
      <c r="C3" s="422"/>
      <c r="D3" s="422"/>
      <c r="E3" s="301"/>
      <c r="F3" s="277"/>
      <c r="G3" s="277"/>
      <c r="H3" s="277"/>
      <c r="I3" s="278"/>
    </row>
    <row r="4" spans="1:9" ht="16.5" thickBot="1" x14ac:dyDescent="0.3">
      <c r="A4" s="415" t="s">
        <v>504</v>
      </c>
      <c r="B4" s="415"/>
      <c r="C4" s="415"/>
      <c r="D4" s="416"/>
      <c r="E4" s="416"/>
      <c r="F4" s="446"/>
      <c r="G4" s="446"/>
      <c r="H4" s="446"/>
      <c r="I4" s="339"/>
    </row>
    <row r="5" spans="1:9" ht="16.5" thickBot="1" x14ac:dyDescent="0.3">
      <c r="A5" s="366" t="s">
        <v>1</v>
      </c>
      <c r="B5" s="367"/>
      <c r="C5" s="367"/>
      <c r="D5" s="367"/>
      <c r="E5" s="308"/>
      <c r="F5" s="285"/>
      <c r="G5" s="285"/>
      <c r="H5" s="285"/>
      <c r="I5" s="286"/>
    </row>
    <row r="6" spans="1:9" ht="16.5" thickBot="1" x14ac:dyDescent="0.3">
      <c r="A6" s="11"/>
      <c r="B6" s="65" t="s">
        <v>804</v>
      </c>
      <c r="C6" s="62">
        <v>0</v>
      </c>
      <c r="D6" s="124" t="s">
        <v>177</v>
      </c>
      <c r="E6" s="292"/>
      <c r="F6" s="292"/>
      <c r="G6" s="292"/>
      <c r="H6" s="292"/>
      <c r="I6" s="292"/>
    </row>
    <row r="7" spans="1:9" ht="15" customHeight="1" thickBot="1" x14ac:dyDescent="0.3">
      <c r="A7" s="366" t="s">
        <v>478</v>
      </c>
      <c r="B7" s="367"/>
      <c r="C7" s="367"/>
      <c r="D7" s="367"/>
      <c r="E7" s="308"/>
      <c r="F7" s="285"/>
      <c r="G7" s="285"/>
      <c r="H7" s="285"/>
      <c r="I7" s="340"/>
    </row>
    <row r="8" spans="1:9" x14ac:dyDescent="0.25">
      <c r="A8" s="56">
        <v>1</v>
      </c>
      <c r="B8" s="27" t="s">
        <v>479</v>
      </c>
      <c r="C8" s="296">
        <v>1</v>
      </c>
      <c r="D8" s="155" t="s">
        <v>24</v>
      </c>
      <c r="E8" s="292"/>
      <c r="F8" s="292"/>
      <c r="G8" s="292"/>
      <c r="H8" s="292"/>
      <c r="I8" s="292"/>
    </row>
    <row r="9" spans="1:9" ht="15.75" customHeight="1" x14ac:dyDescent="0.25">
      <c r="A9" s="56">
        <f>A8+1</f>
        <v>2</v>
      </c>
      <c r="B9" s="27" t="s">
        <v>556</v>
      </c>
      <c r="C9" s="296">
        <v>20</v>
      </c>
      <c r="D9" s="155" t="s">
        <v>24</v>
      </c>
      <c r="E9" s="292"/>
      <c r="F9" s="292"/>
      <c r="G9" s="292"/>
      <c r="H9" s="292"/>
      <c r="I9" s="292"/>
    </row>
    <row r="10" spans="1:9" ht="16.5" thickBot="1" x14ac:dyDescent="0.3">
      <c r="A10" s="11">
        <f>A9+1</f>
        <v>3</v>
      </c>
      <c r="B10" s="65" t="s">
        <v>480</v>
      </c>
      <c r="C10" s="341">
        <f>(11.55*20*(0.6^2)*PI()/4)*100/1000</f>
        <v>6.5313711268131804</v>
      </c>
      <c r="D10" s="156" t="s">
        <v>8</v>
      </c>
      <c r="E10" s="292"/>
      <c r="F10" s="292"/>
      <c r="G10" s="292"/>
      <c r="H10" s="292"/>
      <c r="I10" s="292"/>
    </row>
    <row r="11" spans="1:9" ht="15" customHeight="1" thickBot="1" x14ac:dyDescent="0.3">
      <c r="A11" s="444" t="s">
        <v>481</v>
      </c>
      <c r="B11" s="445"/>
      <c r="C11" s="445"/>
      <c r="D11" s="445"/>
      <c r="E11" s="308"/>
      <c r="F11" s="285"/>
      <c r="G11" s="285"/>
      <c r="H11" s="285"/>
      <c r="I11" s="286"/>
    </row>
    <row r="12" spans="1:9" ht="18.75" x14ac:dyDescent="0.25">
      <c r="A12" s="56">
        <v>1</v>
      </c>
      <c r="B12" s="316" t="s">
        <v>482</v>
      </c>
      <c r="C12" s="108">
        <f>(2*3.328)+(2*1*9.5)</f>
        <v>25.655999999999999</v>
      </c>
      <c r="D12" s="155" t="s">
        <v>7</v>
      </c>
      <c r="E12" s="292"/>
      <c r="F12" s="292"/>
      <c r="G12" s="292"/>
      <c r="H12" s="292"/>
      <c r="I12" s="292"/>
    </row>
    <row r="13" spans="1:9" ht="18.75" x14ac:dyDescent="0.25">
      <c r="A13" s="56">
        <f>A12+1</f>
        <v>2</v>
      </c>
      <c r="B13" s="80" t="s">
        <v>483</v>
      </c>
      <c r="C13" s="109">
        <f>2*9.5*3.328</f>
        <v>63.231999999999999</v>
      </c>
      <c r="D13" s="156" t="s">
        <v>2</v>
      </c>
      <c r="E13" s="292"/>
      <c r="F13" s="292"/>
      <c r="G13" s="292"/>
      <c r="H13" s="292"/>
      <c r="I13" s="292"/>
    </row>
    <row r="14" spans="1:9" ht="18.75" x14ac:dyDescent="0.25">
      <c r="A14" s="56">
        <f>A13+1</f>
        <v>3</v>
      </c>
      <c r="B14" s="80" t="s">
        <v>484</v>
      </c>
      <c r="C14" s="109">
        <f>4*(2*2.35)+(2*1*(4+4.1+3.4+6))</f>
        <v>53.8</v>
      </c>
      <c r="D14" s="156" t="s">
        <v>7</v>
      </c>
      <c r="E14" s="292"/>
      <c r="F14" s="292"/>
      <c r="G14" s="292"/>
      <c r="H14" s="292"/>
      <c r="I14" s="292"/>
    </row>
    <row r="15" spans="1:9" ht="18.75" x14ac:dyDescent="0.25">
      <c r="A15" s="11">
        <f t="shared" ref="A15:A16" si="0">A14+1</f>
        <v>4</v>
      </c>
      <c r="B15" s="80" t="s">
        <v>485</v>
      </c>
      <c r="C15" s="109">
        <f>2.35*(4.1+4+6.5+3.4)</f>
        <v>42.300000000000004</v>
      </c>
      <c r="D15" s="156" t="s">
        <v>2</v>
      </c>
      <c r="E15" s="292"/>
      <c r="F15" s="292"/>
      <c r="G15" s="292"/>
      <c r="H15" s="292"/>
      <c r="I15" s="292"/>
    </row>
    <row r="16" spans="1:9" ht="16.5" thickBot="1" x14ac:dyDescent="0.3">
      <c r="A16" s="11">
        <f t="shared" si="0"/>
        <v>5</v>
      </c>
      <c r="B16" s="80" t="s">
        <v>486</v>
      </c>
      <c r="C16" s="109">
        <f>(C15+C13)*100/1000</f>
        <v>10.5532</v>
      </c>
      <c r="D16" s="156" t="s">
        <v>8</v>
      </c>
      <c r="E16" s="292"/>
      <c r="F16" s="292"/>
      <c r="G16" s="292"/>
      <c r="H16" s="292"/>
      <c r="I16" s="292"/>
    </row>
    <row r="17" spans="1:9" ht="15" customHeight="1" thickBot="1" x14ac:dyDescent="0.3">
      <c r="A17" s="366" t="s">
        <v>487</v>
      </c>
      <c r="B17" s="367"/>
      <c r="C17" s="367"/>
      <c r="D17" s="367"/>
      <c r="E17" s="308"/>
      <c r="F17" s="285"/>
      <c r="G17" s="285"/>
      <c r="H17" s="285"/>
      <c r="I17" s="286"/>
    </row>
    <row r="18" spans="1:9" ht="31.5" x14ac:dyDescent="0.25">
      <c r="A18" s="56">
        <v>1</v>
      </c>
      <c r="B18" s="27" t="s">
        <v>488</v>
      </c>
      <c r="C18" s="68">
        <f>(2*3.42+2*9.5*2.85)+(2*4.28+2*9.5*3.5)</f>
        <v>136.05000000000001</v>
      </c>
      <c r="D18" s="155" t="s">
        <v>7</v>
      </c>
      <c r="E18" s="292"/>
      <c r="F18" s="292"/>
      <c r="G18" s="292"/>
      <c r="H18" s="292"/>
      <c r="I18" s="292"/>
    </row>
    <row r="19" spans="1:9" ht="18.75" x14ac:dyDescent="0.25">
      <c r="A19" s="56">
        <f>A18+1</f>
        <v>2</v>
      </c>
      <c r="B19" s="65" t="s">
        <v>489</v>
      </c>
      <c r="C19" s="66">
        <f>(2*0.69+2*9*0.6)+(2*1.24+2*9*1.05)+(2*1.59+2*9*1.33)+(2*1.47+2*9*1.22)</f>
        <v>85.580000000000013</v>
      </c>
      <c r="D19" s="156" t="s">
        <v>7</v>
      </c>
      <c r="E19" s="292"/>
      <c r="F19" s="292"/>
      <c r="G19" s="292"/>
      <c r="H19" s="292"/>
      <c r="I19" s="292"/>
    </row>
    <row r="20" spans="1:9" ht="31.5" x14ac:dyDescent="0.25">
      <c r="A20" s="56">
        <f>A19+1</f>
        <v>3</v>
      </c>
      <c r="B20" s="65" t="s">
        <v>490</v>
      </c>
      <c r="C20" s="66">
        <f>(3.35+4.19)*9.5+(13.8+13.8+22.14+14.22)*0.65</f>
        <v>113.20400000000001</v>
      </c>
      <c r="D20" s="156" t="s">
        <v>2</v>
      </c>
      <c r="E20" s="292"/>
      <c r="F20" s="292"/>
      <c r="G20" s="292"/>
      <c r="H20" s="292"/>
      <c r="I20" s="292"/>
    </row>
    <row r="21" spans="1:9" ht="31.5" x14ac:dyDescent="0.25">
      <c r="A21" s="56">
        <f t="shared" ref="A21:A22" si="1">A20+1</f>
        <v>4</v>
      </c>
      <c r="B21" s="65" t="s">
        <v>491</v>
      </c>
      <c r="C21" s="66">
        <f>(0.71+1.25+1.6+1.46)*9</f>
        <v>45.179999999999993</v>
      </c>
      <c r="D21" s="156" t="s">
        <v>2</v>
      </c>
      <c r="E21" s="292"/>
      <c r="F21" s="292"/>
      <c r="G21" s="292"/>
      <c r="H21" s="292"/>
      <c r="I21" s="292"/>
    </row>
    <row r="22" spans="1:9" ht="16.5" thickBot="1" x14ac:dyDescent="0.3">
      <c r="A22" s="56">
        <f t="shared" si="1"/>
        <v>5</v>
      </c>
      <c r="B22" s="67" t="s">
        <v>492</v>
      </c>
      <c r="C22" s="66">
        <f>(C20+C21)*120/1000</f>
        <v>19.006080000000001</v>
      </c>
      <c r="D22" s="342" t="s">
        <v>8</v>
      </c>
      <c r="E22" s="292"/>
      <c r="F22" s="292"/>
      <c r="G22" s="292"/>
      <c r="H22" s="292"/>
      <c r="I22" s="292"/>
    </row>
    <row r="23" spans="1:9" ht="16.5" thickBot="1" x14ac:dyDescent="0.3">
      <c r="A23" s="366" t="s">
        <v>505</v>
      </c>
      <c r="B23" s="367"/>
      <c r="C23" s="367"/>
      <c r="D23" s="368"/>
      <c r="E23" s="308"/>
      <c r="F23" s="285"/>
      <c r="G23" s="285"/>
      <c r="H23" s="285"/>
      <c r="I23" s="286"/>
    </row>
    <row r="24" spans="1:9" ht="126" x14ac:dyDescent="0.25">
      <c r="A24" s="56">
        <v>1</v>
      </c>
      <c r="B24" s="65" t="s">
        <v>995</v>
      </c>
      <c r="C24" s="270">
        <f>3*9</f>
        <v>27</v>
      </c>
      <c r="D24" s="156" t="s">
        <v>24</v>
      </c>
      <c r="E24" s="292"/>
      <c r="F24" s="292"/>
      <c r="G24" s="292"/>
      <c r="H24" s="292"/>
      <c r="I24" s="292"/>
    </row>
    <row r="25" spans="1:9" ht="126" x14ac:dyDescent="0.25">
      <c r="A25" s="11">
        <f>A24+1</f>
        <v>2</v>
      </c>
      <c r="B25" s="65" t="s">
        <v>994</v>
      </c>
      <c r="C25" s="270">
        <f>2*9</f>
        <v>18</v>
      </c>
      <c r="D25" s="156" t="s">
        <v>24</v>
      </c>
      <c r="E25" s="292"/>
      <c r="F25" s="292"/>
      <c r="G25" s="292"/>
      <c r="H25" s="292"/>
      <c r="I25" s="292"/>
    </row>
    <row r="26" spans="1:9" ht="47.25" x14ac:dyDescent="0.25">
      <c r="A26" s="56">
        <f>A25+1</f>
        <v>3</v>
      </c>
      <c r="B26" s="65" t="s">
        <v>506</v>
      </c>
      <c r="C26" s="66">
        <f>(2*0.27*78.2)+(4*2*0.4+2*2*0.85)</f>
        <v>48.828000000000003</v>
      </c>
      <c r="D26" s="156" t="s">
        <v>7</v>
      </c>
      <c r="E26" s="292"/>
      <c r="F26" s="292"/>
      <c r="G26" s="292"/>
      <c r="H26" s="292"/>
      <c r="I26" s="292"/>
    </row>
    <row r="27" spans="1:9" ht="47.25" x14ac:dyDescent="0.25">
      <c r="A27" s="56">
        <f t="shared" ref="A27:A37" si="2">A26+1</f>
        <v>4</v>
      </c>
      <c r="B27" s="65" t="s">
        <v>507</v>
      </c>
      <c r="C27" s="66">
        <f>8*0.64*(2*10+3*17)</f>
        <v>363.52</v>
      </c>
      <c r="D27" s="156" t="s">
        <v>7</v>
      </c>
      <c r="E27" s="292"/>
      <c r="F27" s="292"/>
      <c r="G27" s="292"/>
      <c r="H27" s="292"/>
      <c r="I27" s="292"/>
    </row>
    <row r="28" spans="1:9" ht="31.5" x14ac:dyDescent="0.25">
      <c r="A28" s="56">
        <f t="shared" si="2"/>
        <v>5</v>
      </c>
      <c r="B28" s="65" t="s">
        <v>508</v>
      </c>
      <c r="C28" s="66">
        <f>(2.13*78.22)+(0.81+0.38+0.38+0.37+0.38+0.8)*9</f>
        <v>194.68860000000001</v>
      </c>
      <c r="D28" s="156" t="s">
        <v>2</v>
      </c>
      <c r="E28" s="292"/>
      <c r="F28" s="292"/>
      <c r="G28" s="292"/>
      <c r="H28" s="292"/>
      <c r="I28" s="292"/>
    </row>
    <row r="29" spans="1:9" ht="31.5" x14ac:dyDescent="0.25">
      <c r="A29" s="56">
        <f t="shared" si="2"/>
        <v>6</v>
      </c>
      <c r="B29" s="65" t="s">
        <v>509</v>
      </c>
      <c r="C29" s="66">
        <f>2*(0.36+0.21+1+0.43)*81+(2*2*0.31)</f>
        <v>325.23999999999995</v>
      </c>
      <c r="D29" s="156" t="s">
        <v>7</v>
      </c>
      <c r="E29" s="292"/>
      <c r="F29" s="292"/>
      <c r="G29" s="292"/>
      <c r="H29" s="292"/>
      <c r="I29" s="292"/>
    </row>
    <row r="30" spans="1:9" ht="31.5" x14ac:dyDescent="0.25">
      <c r="A30" s="56">
        <f t="shared" si="2"/>
        <v>7</v>
      </c>
      <c r="B30" s="65" t="s">
        <v>510</v>
      </c>
      <c r="C30" s="66">
        <f>2*0.32*81</f>
        <v>51.84</v>
      </c>
      <c r="D30" s="156" t="s">
        <v>2</v>
      </c>
      <c r="E30" s="292"/>
      <c r="F30" s="292"/>
      <c r="G30" s="292"/>
      <c r="H30" s="292"/>
      <c r="I30" s="292"/>
    </row>
    <row r="31" spans="1:9" ht="18.75" x14ac:dyDescent="0.25">
      <c r="A31" s="56">
        <f t="shared" si="2"/>
        <v>8</v>
      </c>
      <c r="B31" s="65" t="s">
        <v>511</v>
      </c>
      <c r="C31" s="66">
        <f>2*(0.364*9)</f>
        <v>6.5519999999999996</v>
      </c>
      <c r="D31" s="156" t="s">
        <v>2</v>
      </c>
      <c r="E31" s="292"/>
      <c r="F31" s="292"/>
      <c r="G31" s="292"/>
      <c r="H31" s="292"/>
      <c r="I31" s="292"/>
    </row>
    <row r="32" spans="1:9" ht="18.75" x14ac:dyDescent="0.25">
      <c r="A32" s="56">
        <f t="shared" si="2"/>
        <v>9</v>
      </c>
      <c r="B32" s="65" t="s">
        <v>512</v>
      </c>
      <c r="C32" s="66">
        <f>2*(2*0.83+4*0.2)</f>
        <v>4.92</v>
      </c>
      <c r="D32" s="156" t="s">
        <v>7</v>
      </c>
      <c r="E32" s="292"/>
      <c r="F32" s="292"/>
      <c r="G32" s="292"/>
      <c r="H32" s="292"/>
      <c r="I32" s="292"/>
    </row>
    <row r="33" spans="1:9" ht="18.75" x14ac:dyDescent="0.25">
      <c r="A33" s="56">
        <f t="shared" si="2"/>
        <v>10</v>
      </c>
      <c r="B33" s="65" t="s">
        <v>513</v>
      </c>
      <c r="C33" s="66">
        <f>2*(4*8)</f>
        <v>64</v>
      </c>
      <c r="D33" s="156" t="s">
        <v>7</v>
      </c>
      <c r="E33" s="292"/>
      <c r="F33" s="292"/>
      <c r="G33" s="292"/>
      <c r="H33" s="292"/>
      <c r="I33" s="292"/>
    </row>
    <row r="34" spans="1:9" ht="31.5" x14ac:dyDescent="0.25">
      <c r="A34" s="56">
        <f t="shared" si="2"/>
        <v>11</v>
      </c>
      <c r="B34" s="65" t="s">
        <v>514</v>
      </c>
      <c r="C34" s="66">
        <f>2*0.8*9</f>
        <v>14.4</v>
      </c>
      <c r="D34" s="156" t="s">
        <v>2</v>
      </c>
      <c r="E34" s="292"/>
      <c r="F34" s="292"/>
      <c r="G34" s="292"/>
      <c r="H34" s="292"/>
      <c r="I34" s="292"/>
    </row>
    <row r="35" spans="1:9" ht="18.75" x14ac:dyDescent="0.25">
      <c r="A35" s="56">
        <f t="shared" si="2"/>
        <v>12</v>
      </c>
      <c r="B35" s="65" t="s">
        <v>515</v>
      </c>
      <c r="C35" s="66">
        <f>4*2*(2.2+0.9)*0.37</f>
        <v>9.1760000000000002</v>
      </c>
      <c r="D35" s="156" t="s">
        <v>7</v>
      </c>
      <c r="E35" s="292"/>
      <c r="F35" s="292"/>
      <c r="G35" s="292"/>
      <c r="H35" s="292"/>
      <c r="I35" s="292"/>
    </row>
    <row r="36" spans="1:9" ht="18.75" x14ac:dyDescent="0.25">
      <c r="A36" s="56">
        <f t="shared" si="2"/>
        <v>13</v>
      </c>
      <c r="B36" s="65" t="s">
        <v>516</v>
      </c>
      <c r="C36" s="66">
        <f>4*(4.35*0.35)</f>
        <v>6.089999999999999</v>
      </c>
      <c r="D36" s="156" t="s">
        <v>2</v>
      </c>
      <c r="E36" s="292"/>
      <c r="F36" s="292"/>
      <c r="G36" s="292"/>
      <c r="H36" s="292"/>
      <c r="I36" s="292"/>
    </row>
    <row r="37" spans="1:9" ht="16.5" thickBot="1" x14ac:dyDescent="0.3">
      <c r="A37" s="11">
        <f t="shared" si="2"/>
        <v>14</v>
      </c>
      <c r="B37" s="67" t="s">
        <v>521</v>
      </c>
      <c r="C37" s="66">
        <f>((C28)*140/1000)+((C30+C34)*150/1000)</f>
        <v>37.192404000000003</v>
      </c>
      <c r="D37" s="342" t="s">
        <v>8</v>
      </c>
      <c r="E37" s="292"/>
      <c r="F37" s="292"/>
      <c r="G37" s="292"/>
      <c r="H37" s="292"/>
      <c r="I37" s="292"/>
    </row>
    <row r="38" spans="1:9" ht="16.5" thickBot="1" x14ac:dyDescent="0.3">
      <c r="A38" s="366" t="s">
        <v>522</v>
      </c>
      <c r="B38" s="367"/>
      <c r="C38" s="367"/>
      <c r="D38" s="367"/>
      <c r="E38" s="308"/>
      <c r="F38" s="285"/>
      <c r="G38" s="285"/>
      <c r="H38" s="285"/>
      <c r="I38" s="286"/>
    </row>
    <row r="39" spans="1:9" ht="18.75" x14ac:dyDescent="0.25">
      <c r="A39" s="56">
        <v>1</v>
      </c>
      <c r="B39" s="65" t="s">
        <v>523</v>
      </c>
      <c r="C39" s="66">
        <f>2*4*9</f>
        <v>72</v>
      </c>
      <c r="D39" s="156" t="s">
        <v>7</v>
      </c>
      <c r="E39" s="292"/>
      <c r="F39" s="292"/>
      <c r="G39" s="292"/>
      <c r="H39" s="292"/>
      <c r="I39" s="292"/>
    </row>
    <row r="40" spans="1:9" ht="18.75" x14ac:dyDescent="0.25">
      <c r="A40" s="56">
        <f>A39+1</f>
        <v>2</v>
      </c>
      <c r="B40" s="65" t="s">
        <v>524</v>
      </c>
      <c r="C40" s="66">
        <f>8.71*85.23</f>
        <v>742.3533000000001</v>
      </c>
      <c r="D40" s="156" t="s">
        <v>7</v>
      </c>
      <c r="E40" s="292"/>
      <c r="F40" s="292"/>
      <c r="G40" s="292"/>
      <c r="H40" s="292"/>
      <c r="I40" s="292"/>
    </row>
    <row r="41" spans="1:9" ht="18.75" x14ac:dyDescent="0.25">
      <c r="A41" s="56">
        <f>A40+1</f>
        <v>3</v>
      </c>
      <c r="B41" s="65" t="s">
        <v>525</v>
      </c>
      <c r="C41" s="66">
        <f>(7.34*85.23)*0.04</f>
        <v>25.023528000000002</v>
      </c>
      <c r="D41" s="156" t="s">
        <v>2</v>
      </c>
      <c r="E41" s="292"/>
      <c r="F41" s="292"/>
      <c r="G41" s="292"/>
      <c r="H41" s="292"/>
      <c r="I41" s="292"/>
    </row>
    <row r="42" spans="1:9" ht="31.5" x14ac:dyDescent="0.25">
      <c r="A42" s="56">
        <f t="shared" ref="A42:A48" si="3">A41+1</f>
        <v>4</v>
      </c>
      <c r="B42" s="65" t="s">
        <v>526</v>
      </c>
      <c r="C42" s="66">
        <f>(7.34*85.23)*0.07</f>
        <v>43.791174000000005</v>
      </c>
      <c r="D42" s="156" t="s">
        <v>2</v>
      </c>
      <c r="E42" s="292"/>
      <c r="F42" s="292"/>
      <c r="G42" s="292"/>
      <c r="H42" s="292"/>
      <c r="I42" s="292"/>
    </row>
    <row r="43" spans="1:9" ht="31.5" x14ac:dyDescent="0.25">
      <c r="A43" s="11">
        <f t="shared" si="3"/>
        <v>5</v>
      </c>
      <c r="B43" s="65" t="s">
        <v>527</v>
      </c>
      <c r="C43" s="66">
        <f>(7.34*85.23)*0.04</f>
        <v>25.023528000000002</v>
      </c>
      <c r="D43" s="156" t="s">
        <v>2</v>
      </c>
      <c r="E43" s="292"/>
      <c r="F43" s="292"/>
      <c r="G43" s="292"/>
      <c r="H43" s="292"/>
      <c r="I43" s="292"/>
    </row>
    <row r="44" spans="1:9" ht="31.5" x14ac:dyDescent="0.25">
      <c r="A44" s="56">
        <f t="shared" si="3"/>
        <v>6</v>
      </c>
      <c r="B44" s="65" t="s">
        <v>528</v>
      </c>
      <c r="C44" s="66">
        <f>((8.71-7.34)*85.23)*0.15</f>
        <v>17.514765000000011</v>
      </c>
      <c r="D44" s="156" t="s">
        <v>2</v>
      </c>
      <c r="E44" s="292"/>
      <c r="F44" s="292"/>
      <c r="G44" s="292"/>
      <c r="H44" s="292"/>
      <c r="I44" s="292"/>
    </row>
    <row r="45" spans="1:9" ht="31.5" x14ac:dyDescent="0.25">
      <c r="A45" s="56">
        <f t="shared" si="3"/>
        <v>7</v>
      </c>
      <c r="B45" s="65" t="s">
        <v>529</v>
      </c>
      <c r="C45" s="66">
        <f>4*8.2</f>
        <v>32.799999999999997</v>
      </c>
      <c r="D45" s="156" t="s">
        <v>168</v>
      </c>
      <c r="E45" s="292"/>
      <c r="F45" s="292"/>
      <c r="G45" s="292"/>
      <c r="H45" s="292"/>
      <c r="I45" s="292"/>
    </row>
    <row r="46" spans="1:9" ht="31.5" x14ac:dyDescent="0.25">
      <c r="A46" s="56">
        <f t="shared" si="3"/>
        <v>8</v>
      </c>
      <c r="B46" s="65" t="s">
        <v>530</v>
      </c>
      <c r="C46" s="66">
        <f>2*2.08*(2*10+3*17)</f>
        <v>295.36</v>
      </c>
      <c r="D46" s="156" t="s">
        <v>7</v>
      </c>
      <c r="E46" s="292"/>
      <c r="F46" s="292"/>
      <c r="G46" s="292"/>
      <c r="H46" s="292"/>
      <c r="I46" s="292"/>
    </row>
    <row r="47" spans="1:9" ht="31.5" x14ac:dyDescent="0.25">
      <c r="A47" s="56">
        <f t="shared" si="3"/>
        <v>9</v>
      </c>
      <c r="B47" s="65" t="s">
        <v>531</v>
      </c>
      <c r="C47" s="66">
        <f>2*1.51*81</f>
        <v>244.62</v>
      </c>
      <c r="D47" s="156" t="s">
        <v>7</v>
      </c>
      <c r="E47" s="292"/>
      <c r="F47" s="292"/>
      <c r="G47" s="292"/>
      <c r="H47" s="292"/>
      <c r="I47" s="292"/>
    </row>
    <row r="48" spans="1:9" ht="32.25" thickBot="1" x14ac:dyDescent="0.3">
      <c r="A48" s="56">
        <f t="shared" si="3"/>
        <v>10</v>
      </c>
      <c r="B48" s="65" t="s">
        <v>532</v>
      </c>
      <c r="C48" s="66">
        <f>2*0.88*81</f>
        <v>142.56</v>
      </c>
      <c r="D48" s="156" t="s">
        <v>7</v>
      </c>
      <c r="E48" s="292"/>
      <c r="F48" s="292"/>
      <c r="G48" s="292"/>
      <c r="H48" s="292"/>
      <c r="I48" s="292"/>
    </row>
    <row r="49" spans="1:9" ht="16.5" thickBot="1" x14ac:dyDescent="0.3">
      <c r="A49" s="366" t="s">
        <v>533</v>
      </c>
      <c r="B49" s="367"/>
      <c r="C49" s="367"/>
      <c r="D49" s="367"/>
      <c r="E49" s="308"/>
      <c r="F49" s="285"/>
      <c r="G49" s="285"/>
      <c r="H49" s="285"/>
      <c r="I49" s="286"/>
    </row>
    <row r="50" spans="1:9" x14ac:dyDescent="0.25">
      <c r="A50" s="56">
        <v>1</v>
      </c>
      <c r="B50" s="65" t="s">
        <v>534</v>
      </c>
      <c r="C50" s="270">
        <f>10*9</f>
        <v>90</v>
      </c>
      <c r="D50" s="156" t="s">
        <v>24</v>
      </c>
      <c r="E50" s="307"/>
      <c r="F50" s="307"/>
      <c r="G50" s="307"/>
      <c r="H50" s="307"/>
      <c r="I50" s="307"/>
    </row>
    <row r="51" spans="1:9" ht="31.5" x14ac:dyDescent="0.25">
      <c r="A51" s="56">
        <f>A50+1</f>
        <v>2</v>
      </c>
      <c r="B51" s="65" t="s">
        <v>535</v>
      </c>
      <c r="C51" s="66">
        <f>2*80</f>
        <v>160</v>
      </c>
      <c r="D51" s="156" t="s">
        <v>168</v>
      </c>
      <c r="E51" s="292"/>
      <c r="F51" s="292"/>
      <c r="G51" s="292"/>
      <c r="H51" s="292"/>
      <c r="I51" s="292"/>
    </row>
    <row r="52" spans="1:9" x14ac:dyDescent="0.25">
      <c r="A52" s="56">
        <f>A51+1</f>
        <v>3</v>
      </c>
      <c r="B52" s="65" t="s">
        <v>536</v>
      </c>
      <c r="C52" s="66">
        <f>3.61+4.37</f>
        <v>7.98</v>
      </c>
      <c r="D52" s="156" t="s">
        <v>168</v>
      </c>
      <c r="E52" s="292"/>
      <c r="F52" s="292"/>
      <c r="G52" s="292"/>
      <c r="H52" s="292"/>
      <c r="I52" s="292"/>
    </row>
    <row r="53" spans="1:9" ht="18.75" x14ac:dyDescent="0.25">
      <c r="A53" s="56">
        <f t="shared" ref="A53:A71" si="4">A52+1</f>
        <v>4</v>
      </c>
      <c r="B53" s="67" t="s">
        <v>537</v>
      </c>
      <c r="C53" s="66">
        <f>2*(2*1.5)</f>
        <v>6</v>
      </c>
      <c r="D53" s="342" t="s">
        <v>114</v>
      </c>
      <c r="E53" s="292"/>
      <c r="F53" s="292"/>
      <c r="G53" s="292"/>
      <c r="H53" s="292"/>
      <c r="I53" s="292"/>
    </row>
    <row r="54" spans="1:9" x14ac:dyDescent="0.25">
      <c r="A54" s="56">
        <f t="shared" si="4"/>
        <v>5</v>
      </c>
      <c r="B54" s="67" t="s">
        <v>538</v>
      </c>
      <c r="C54" s="66">
        <f>2*300</f>
        <v>600</v>
      </c>
      <c r="D54" s="342" t="s">
        <v>11</v>
      </c>
      <c r="E54" s="292"/>
      <c r="F54" s="292"/>
      <c r="G54" s="292"/>
      <c r="H54" s="292"/>
      <c r="I54" s="292"/>
    </row>
    <row r="55" spans="1:9" ht="18.75" x14ac:dyDescent="0.25">
      <c r="A55" s="56">
        <f t="shared" si="4"/>
        <v>6</v>
      </c>
      <c r="B55" s="65" t="s">
        <v>539</v>
      </c>
      <c r="C55" s="66">
        <f>2*(3.64*9)</f>
        <v>65.52</v>
      </c>
      <c r="D55" s="156" t="s">
        <v>7</v>
      </c>
      <c r="E55" s="292"/>
      <c r="F55" s="292"/>
      <c r="G55" s="292"/>
      <c r="H55" s="292"/>
      <c r="I55" s="292"/>
    </row>
    <row r="56" spans="1:9" x14ac:dyDescent="0.25">
      <c r="A56" s="56">
        <f t="shared" si="4"/>
        <v>7</v>
      </c>
      <c r="B56" s="65" t="s">
        <v>540</v>
      </c>
      <c r="C56" s="66">
        <f>2*13.95</f>
        <v>27.9</v>
      </c>
      <c r="D56" s="156" t="s">
        <v>168</v>
      </c>
      <c r="E56" s="292"/>
      <c r="F56" s="292"/>
      <c r="G56" s="292"/>
      <c r="H56" s="292"/>
      <c r="I56" s="292"/>
    </row>
    <row r="57" spans="1:9" x14ac:dyDescent="0.25">
      <c r="A57" s="56">
        <f t="shared" si="4"/>
        <v>8</v>
      </c>
      <c r="B57" s="65" t="s">
        <v>541</v>
      </c>
      <c r="C57" s="66">
        <f>2*(84.65+2*0.95+2*2.5)</f>
        <v>183.10000000000002</v>
      </c>
      <c r="D57" s="156" t="s">
        <v>168</v>
      </c>
      <c r="E57" s="292"/>
      <c r="F57" s="292"/>
      <c r="G57" s="292"/>
      <c r="H57" s="292"/>
      <c r="I57" s="292"/>
    </row>
    <row r="58" spans="1:9" ht="31.5" x14ac:dyDescent="0.25">
      <c r="A58" s="56">
        <f t="shared" si="4"/>
        <v>9</v>
      </c>
      <c r="B58" s="65" t="s">
        <v>542</v>
      </c>
      <c r="C58" s="66">
        <f>6.4+3.61+4.36+4.37</f>
        <v>18.740000000000002</v>
      </c>
      <c r="D58" s="156" t="s">
        <v>168</v>
      </c>
      <c r="E58" s="292"/>
      <c r="F58" s="292"/>
      <c r="G58" s="292"/>
      <c r="H58" s="292"/>
      <c r="I58" s="292"/>
    </row>
    <row r="59" spans="1:9" x14ac:dyDescent="0.25">
      <c r="A59" s="56">
        <f t="shared" si="4"/>
        <v>10</v>
      </c>
      <c r="B59" s="65" t="s">
        <v>543</v>
      </c>
      <c r="C59" s="66">
        <f>2*(6)</f>
        <v>12</v>
      </c>
      <c r="D59" s="156" t="s">
        <v>24</v>
      </c>
      <c r="E59" s="292"/>
      <c r="F59" s="292"/>
      <c r="G59" s="292"/>
      <c r="H59" s="292"/>
      <c r="I59" s="292"/>
    </row>
    <row r="60" spans="1:9" x14ac:dyDescent="0.25">
      <c r="A60" s="56">
        <f t="shared" si="4"/>
        <v>11</v>
      </c>
      <c r="B60" s="65" t="s">
        <v>544</v>
      </c>
      <c r="C60" s="66">
        <v>1</v>
      </c>
      <c r="D60" s="156" t="s">
        <v>24</v>
      </c>
      <c r="E60" s="292"/>
      <c r="F60" s="292"/>
      <c r="G60" s="292"/>
      <c r="H60" s="292"/>
      <c r="I60" s="292"/>
    </row>
    <row r="61" spans="1:9" x14ac:dyDescent="0.25">
      <c r="A61" s="56">
        <f t="shared" si="4"/>
        <v>12</v>
      </c>
      <c r="B61" s="65" t="s">
        <v>545</v>
      </c>
      <c r="C61" s="66">
        <f>2*(1)</f>
        <v>2</v>
      </c>
      <c r="D61" s="156" t="s">
        <v>24</v>
      </c>
      <c r="E61" s="292"/>
      <c r="F61" s="292"/>
      <c r="G61" s="292"/>
      <c r="H61" s="292"/>
      <c r="I61" s="292"/>
    </row>
    <row r="62" spans="1:9" x14ac:dyDescent="0.25">
      <c r="A62" s="56">
        <f t="shared" si="4"/>
        <v>13</v>
      </c>
      <c r="B62" s="65" t="s">
        <v>546</v>
      </c>
      <c r="C62" s="66">
        <f>2*(1)</f>
        <v>2</v>
      </c>
      <c r="D62" s="156" t="s">
        <v>24</v>
      </c>
      <c r="E62" s="292"/>
      <c r="F62" s="292"/>
      <c r="G62" s="292"/>
      <c r="H62" s="292"/>
      <c r="I62" s="292"/>
    </row>
    <row r="63" spans="1:9" x14ac:dyDescent="0.25">
      <c r="A63" s="56">
        <f t="shared" si="4"/>
        <v>14</v>
      </c>
      <c r="B63" s="65" t="s">
        <v>547</v>
      </c>
      <c r="C63" s="66">
        <v>1</v>
      </c>
      <c r="D63" s="156" t="s">
        <v>24</v>
      </c>
      <c r="E63" s="292"/>
      <c r="F63" s="292"/>
      <c r="G63" s="292"/>
      <c r="H63" s="292"/>
      <c r="I63" s="292"/>
    </row>
    <row r="64" spans="1:9" x14ac:dyDescent="0.25">
      <c r="A64" s="56">
        <f t="shared" si="4"/>
        <v>15</v>
      </c>
      <c r="B64" s="65" t="s">
        <v>548</v>
      </c>
      <c r="C64" s="66">
        <v>0</v>
      </c>
      <c r="D64" s="156" t="s">
        <v>168</v>
      </c>
      <c r="E64" s="292"/>
      <c r="F64" s="292"/>
      <c r="G64" s="292"/>
      <c r="H64" s="292"/>
      <c r="I64" s="292"/>
    </row>
    <row r="65" spans="1:9" ht="18.75" x14ac:dyDescent="0.25">
      <c r="A65" s="56">
        <f t="shared" si="4"/>
        <v>16</v>
      </c>
      <c r="B65" s="67" t="s">
        <v>549</v>
      </c>
      <c r="C65" s="66">
        <f>2*(1.6*9*0.1)</f>
        <v>2.8800000000000003</v>
      </c>
      <c r="D65" s="342" t="s">
        <v>112</v>
      </c>
      <c r="E65" s="292"/>
      <c r="F65" s="292"/>
      <c r="G65" s="292"/>
      <c r="H65" s="292"/>
      <c r="I65" s="292"/>
    </row>
    <row r="66" spans="1:9" ht="31.5" x14ac:dyDescent="0.25">
      <c r="A66" s="56">
        <f t="shared" si="4"/>
        <v>17</v>
      </c>
      <c r="B66" s="67" t="s">
        <v>550</v>
      </c>
      <c r="C66" s="66">
        <f>2*(0.64*2+9*0.4*2)</f>
        <v>16.96</v>
      </c>
      <c r="D66" s="342" t="s">
        <v>114</v>
      </c>
      <c r="E66" s="292"/>
      <c r="F66" s="292"/>
      <c r="G66" s="292"/>
      <c r="H66" s="292"/>
      <c r="I66" s="292"/>
    </row>
    <row r="67" spans="1:9" ht="31.5" x14ac:dyDescent="0.25">
      <c r="A67" s="56">
        <f t="shared" si="4"/>
        <v>18</v>
      </c>
      <c r="B67" s="67" t="s">
        <v>551</v>
      </c>
      <c r="C67" s="66">
        <f>2*(0.64*9)</f>
        <v>11.52</v>
      </c>
      <c r="D67" s="342" t="s">
        <v>112</v>
      </c>
      <c r="E67" s="292"/>
      <c r="F67" s="292"/>
      <c r="G67" s="292"/>
      <c r="H67" s="292"/>
      <c r="I67" s="292"/>
    </row>
    <row r="68" spans="1:9" ht="18.75" x14ac:dyDescent="0.25">
      <c r="A68" s="56">
        <f t="shared" si="4"/>
        <v>19</v>
      </c>
      <c r="B68" s="67" t="s">
        <v>552</v>
      </c>
      <c r="C68" s="66">
        <f>2*2*2*(9*3.25+2.3)</f>
        <v>252.4</v>
      </c>
      <c r="D68" s="342" t="s">
        <v>114</v>
      </c>
      <c r="E68" s="292"/>
      <c r="F68" s="292"/>
      <c r="G68" s="292"/>
      <c r="H68" s="292"/>
      <c r="I68" s="292"/>
    </row>
    <row r="69" spans="1:9" ht="31.5" x14ac:dyDescent="0.25">
      <c r="A69" s="56">
        <f t="shared" si="4"/>
        <v>20</v>
      </c>
      <c r="B69" s="67" t="s">
        <v>553</v>
      </c>
      <c r="C69" s="66">
        <f>2*2*(0.54*9+2.3*0.4)</f>
        <v>23.12</v>
      </c>
      <c r="D69" s="342" t="s">
        <v>112</v>
      </c>
      <c r="E69" s="292"/>
      <c r="F69" s="292"/>
      <c r="G69" s="292"/>
      <c r="H69" s="292"/>
      <c r="I69" s="292"/>
    </row>
    <row r="70" spans="1:9" x14ac:dyDescent="0.25">
      <c r="A70" s="56">
        <f t="shared" si="4"/>
        <v>21</v>
      </c>
      <c r="B70" s="67" t="s">
        <v>554</v>
      </c>
      <c r="C70" s="66">
        <f>(C67+C69)*100/1000</f>
        <v>3.464</v>
      </c>
      <c r="D70" s="342" t="s">
        <v>8</v>
      </c>
      <c r="E70" s="292"/>
      <c r="F70" s="292"/>
      <c r="G70" s="292"/>
      <c r="H70" s="292"/>
      <c r="I70" s="292"/>
    </row>
    <row r="71" spans="1:9" ht="18.75" x14ac:dyDescent="0.25">
      <c r="A71" s="56">
        <f t="shared" si="4"/>
        <v>22</v>
      </c>
      <c r="B71" s="65" t="s">
        <v>555</v>
      </c>
      <c r="C71" s="66">
        <v>0</v>
      </c>
      <c r="D71" s="156" t="s">
        <v>7</v>
      </c>
      <c r="E71" s="292"/>
      <c r="F71" s="292"/>
      <c r="G71" s="292"/>
      <c r="H71" s="292"/>
      <c r="I71" s="292"/>
    </row>
  </sheetData>
  <mergeCells count="16">
    <mergeCell ref="G1:I1"/>
    <mergeCell ref="E4:H4"/>
    <mergeCell ref="A1:A2"/>
    <mergeCell ref="B1:B2"/>
    <mergeCell ref="C1:C2"/>
    <mergeCell ref="D1:D2"/>
    <mergeCell ref="E1:F1"/>
    <mergeCell ref="A3:D3"/>
    <mergeCell ref="A4:D4"/>
    <mergeCell ref="A49:D49"/>
    <mergeCell ref="A5:D5"/>
    <mergeCell ref="A23:D23"/>
    <mergeCell ref="A38:D38"/>
    <mergeCell ref="A11:D11"/>
    <mergeCell ref="A17:D17"/>
    <mergeCell ref="A7:D7"/>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3.4. Kezelő híd&amp;R&amp;"Times New Roman,Normál"&amp;9Mennyiségi kiírás (IV. kötet)</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145" zoomScaleNormal="145" workbookViewId="0">
      <selection activeCell="B13" sqref="B13"/>
    </sheetView>
  </sheetViews>
  <sheetFormatPr defaultColWidth="9.140625" defaultRowHeight="15.75" x14ac:dyDescent="0.25"/>
  <cols>
    <col min="1" max="1" width="6" style="93" customWidth="1"/>
    <col min="2" max="2" width="60.7109375" style="93" customWidth="1"/>
    <col min="3" max="3" width="10.7109375" style="93" customWidth="1"/>
    <col min="4" max="4" width="6.7109375" style="93" customWidth="1"/>
    <col min="5" max="8" width="8.7109375" style="93" customWidth="1"/>
    <col min="9" max="9" width="10.42578125" style="93" customWidth="1"/>
    <col min="10" max="16384" width="9.140625" style="93"/>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6.5" thickBot="1" x14ac:dyDescent="0.3">
      <c r="A3" s="411" t="s">
        <v>174</v>
      </c>
      <c r="B3" s="411"/>
      <c r="C3" s="411"/>
      <c r="D3" s="411"/>
    </row>
    <row r="4" spans="1:10" ht="16.5" thickBot="1" x14ac:dyDescent="0.3">
      <c r="A4" s="392" t="s">
        <v>644</v>
      </c>
      <c r="B4" s="393"/>
      <c r="C4" s="393"/>
      <c r="D4" s="394"/>
      <c r="E4" s="134"/>
      <c r="F4" s="135"/>
      <c r="G4" s="135"/>
      <c r="H4" s="135"/>
      <c r="I4" s="136"/>
    </row>
    <row r="5" spans="1:10" ht="18.75" x14ac:dyDescent="0.25">
      <c r="A5" s="5">
        <v>1</v>
      </c>
      <c r="B5" s="57" t="s">
        <v>645</v>
      </c>
      <c r="C5" s="103">
        <f>240*0.55</f>
        <v>132</v>
      </c>
      <c r="D5" s="123" t="s">
        <v>2</v>
      </c>
      <c r="E5" s="128"/>
      <c r="F5" s="128"/>
      <c r="G5" s="128"/>
      <c r="H5" s="128"/>
      <c r="I5" s="158"/>
    </row>
    <row r="6" spans="1:10" ht="18.75" x14ac:dyDescent="0.25">
      <c r="A6" s="38">
        <f t="shared" ref="A6" si="0">A5+1</f>
        <v>2</v>
      </c>
      <c r="B6" s="20" t="s">
        <v>647</v>
      </c>
      <c r="C6" s="39">
        <f>240*0.3</f>
        <v>72</v>
      </c>
      <c r="D6" s="122" t="s">
        <v>112</v>
      </c>
      <c r="E6" s="128"/>
      <c r="F6" s="128"/>
      <c r="G6" s="128"/>
      <c r="H6" s="128"/>
      <c r="I6" s="128"/>
    </row>
    <row r="7" spans="1:10" ht="31.5" x14ac:dyDescent="0.25">
      <c r="A7" s="38">
        <f>A8+1</f>
        <v>4</v>
      </c>
      <c r="B7" s="20" t="s">
        <v>648</v>
      </c>
      <c r="C7" s="39">
        <f>0.06*240</f>
        <v>14.399999999999999</v>
      </c>
      <c r="D7" s="122" t="s">
        <v>112</v>
      </c>
      <c r="E7" s="128"/>
      <c r="F7" s="128"/>
      <c r="G7" s="128"/>
      <c r="H7" s="128"/>
      <c r="I7" s="128"/>
      <c r="J7" s="157"/>
    </row>
    <row r="8" spans="1:10" ht="31.5" x14ac:dyDescent="0.25">
      <c r="A8" s="38">
        <f>A6+1</f>
        <v>3</v>
      </c>
      <c r="B8" s="20" t="s">
        <v>116</v>
      </c>
      <c r="C8" s="39">
        <f>0.15*240</f>
        <v>36</v>
      </c>
      <c r="D8" s="57" t="s">
        <v>112</v>
      </c>
      <c r="E8" s="128"/>
      <c r="F8" s="128"/>
      <c r="G8" s="128"/>
      <c r="H8" s="128"/>
      <c r="I8" s="128"/>
    </row>
    <row r="9" spans="1:10" ht="18.75" x14ac:dyDescent="0.25">
      <c r="A9" s="38">
        <f>A8+1</f>
        <v>4</v>
      </c>
      <c r="B9" s="20" t="s">
        <v>113</v>
      </c>
      <c r="C9" s="39">
        <f>2*46*0.15</f>
        <v>13.799999999999999</v>
      </c>
      <c r="D9" s="57" t="s">
        <v>114</v>
      </c>
      <c r="E9" s="128"/>
      <c r="F9" s="128"/>
      <c r="G9" s="128"/>
      <c r="H9" s="128"/>
      <c r="I9" s="128"/>
    </row>
    <row r="10" spans="1:10" ht="15.75" customHeight="1" x14ac:dyDescent="0.25"/>
  </sheetData>
  <mergeCells count="8">
    <mergeCell ref="E1:F1"/>
    <mergeCell ref="G1:I1"/>
    <mergeCell ref="A3:D3"/>
    <mergeCell ref="A4:D4"/>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3.5. Ideiglenes betéttábla tároló&amp;R&amp;"Times New Roman,Normál"&amp;9Mennyiségi kiírás (IV. kötet)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7" zoomScale="115" zoomScaleNormal="115" zoomScalePageLayoutView="84" workbookViewId="0">
      <selection activeCell="A26" sqref="A26:XFD26"/>
    </sheetView>
  </sheetViews>
  <sheetFormatPr defaultColWidth="9" defaultRowHeight="15" x14ac:dyDescent="0.25"/>
  <cols>
    <col min="1" max="1" width="7.42578125" style="8" customWidth="1"/>
    <col min="2" max="2" width="60.7109375" style="8" customWidth="1"/>
    <col min="3" max="4" width="18.7109375" style="8" customWidth="1"/>
    <col min="5" max="5" width="22.7109375" style="8" customWidth="1"/>
    <col min="6" max="16384" width="9" style="8"/>
  </cols>
  <sheetData>
    <row r="1" spans="1:5" ht="20.25" x14ac:dyDescent="0.3">
      <c r="A1" s="363" t="s">
        <v>743</v>
      </c>
      <c r="B1" s="364"/>
      <c r="C1" s="364"/>
      <c r="D1" s="364"/>
      <c r="E1" s="364"/>
    </row>
    <row r="4" spans="1:5" ht="20.25" x14ac:dyDescent="0.3">
      <c r="A4" s="363" t="s">
        <v>742</v>
      </c>
      <c r="B4" s="364"/>
      <c r="C4" s="364"/>
      <c r="D4" s="364"/>
      <c r="E4" s="364"/>
    </row>
    <row r="6" spans="1:5" s="93" customFormat="1" ht="30" customHeight="1" x14ac:dyDescent="0.25">
      <c r="A6" s="172"/>
      <c r="B6" s="198" t="s">
        <v>718</v>
      </c>
      <c r="C6" s="198" t="s">
        <v>668</v>
      </c>
      <c r="D6" s="198" t="s">
        <v>669</v>
      </c>
      <c r="E6" s="198" t="s">
        <v>719</v>
      </c>
    </row>
    <row r="7" spans="1:5" ht="15.75" x14ac:dyDescent="0.25">
      <c r="A7" s="214" t="s">
        <v>575</v>
      </c>
      <c r="B7" s="211" t="s">
        <v>740</v>
      </c>
      <c r="C7" s="210"/>
      <c r="D7" s="211"/>
      <c r="E7" s="211"/>
    </row>
    <row r="8" spans="1:5" ht="15.75" x14ac:dyDescent="0.25">
      <c r="A8" s="214" t="s">
        <v>720</v>
      </c>
      <c r="B8" s="211" t="s">
        <v>843</v>
      </c>
      <c r="C8" s="210"/>
      <c r="D8" s="211"/>
      <c r="E8" s="211"/>
    </row>
    <row r="9" spans="1:5" ht="15.75" x14ac:dyDescent="0.25">
      <c r="A9" s="215" t="s">
        <v>683</v>
      </c>
      <c r="B9" s="216" t="s">
        <v>734</v>
      </c>
      <c r="C9" s="179"/>
      <c r="D9" s="217"/>
      <c r="E9" s="217"/>
    </row>
    <row r="10" spans="1:5" ht="15.75" x14ac:dyDescent="0.25">
      <c r="A10" s="215" t="s">
        <v>684</v>
      </c>
      <c r="B10" s="216" t="s">
        <v>741</v>
      </c>
      <c r="C10" s="179"/>
      <c r="D10" s="217"/>
      <c r="E10" s="217"/>
    </row>
    <row r="11" spans="1:5" ht="15.75" x14ac:dyDescent="0.25">
      <c r="A11" s="215" t="s">
        <v>685</v>
      </c>
      <c r="B11" s="216" t="s">
        <v>732</v>
      </c>
      <c r="C11" s="179"/>
      <c r="D11" s="217"/>
      <c r="E11" s="217"/>
    </row>
    <row r="12" spans="1:5" ht="15.75" x14ac:dyDescent="0.25">
      <c r="A12" s="261" t="s">
        <v>686</v>
      </c>
      <c r="B12" s="260" t="s">
        <v>844</v>
      </c>
      <c r="C12" s="210"/>
      <c r="D12" s="211"/>
      <c r="E12" s="211"/>
    </row>
    <row r="13" spans="1:5" ht="15.75" x14ac:dyDescent="0.25">
      <c r="A13" s="215" t="s">
        <v>854</v>
      </c>
      <c r="B13" s="216" t="s">
        <v>734</v>
      </c>
      <c r="C13" s="179"/>
      <c r="D13" s="217"/>
      <c r="E13" s="217"/>
    </row>
    <row r="14" spans="1:5" ht="15.75" x14ac:dyDescent="0.25">
      <c r="A14" s="215" t="s">
        <v>853</v>
      </c>
      <c r="B14" s="216" t="s">
        <v>741</v>
      </c>
      <c r="C14" s="179"/>
      <c r="D14" s="217"/>
      <c r="E14" s="217"/>
    </row>
    <row r="15" spans="1:5" ht="15.75" x14ac:dyDescent="0.25">
      <c r="A15" s="215" t="s">
        <v>852</v>
      </c>
      <c r="B15" s="216" t="s">
        <v>846</v>
      </c>
      <c r="C15" s="179"/>
      <c r="D15" s="217"/>
      <c r="E15" s="217"/>
    </row>
    <row r="16" spans="1:5" ht="15.75" x14ac:dyDescent="0.25">
      <c r="A16" s="215" t="s">
        <v>851</v>
      </c>
      <c r="B16" s="216" t="s">
        <v>847</v>
      </c>
      <c r="C16" s="179"/>
      <c r="D16" s="217"/>
      <c r="E16" s="217"/>
    </row>
    <row r="17" spans="1:5" ht="15.75" x14ac:dyDescent="0.25">
      <c r="A17" s="214" t="s">
        <v>577</v>
      </c>
      <c r="B17" s="211" t="s">
        <v>739</v>
      </c>
      <c r="C17" s="210"/>
      <c r="D17" s="211"/>
      <c r="E17" s="211"/>
    </row>
    <row r="18" spans="1:5" ht="15.75" x14ac:dyDescent="0.25">
      <c r="A18" s="218" t="s">
        <v>687</v>
      </c>
      <c r="B18" s="216" t="s">
        <v>738</v>
      </c>
      <c r="C18" s="179"/>
      <c r="D18" s="217"/>
      <c r="E18" s="217"/>
    </row>
    <row r="19" spans="1:5" ht="15.75" x14ac:dyDescent="0.25">
      <c r="A19" s="218" t="s">
        <v>688</v>
      </c>
      <c r="B19" s="216" t="s">
        <v>737</v>
      </c>
      <c r="C19" s="179"/>
      <c r="D19" s="217"/>
      <c r="E19" s="217"/>
    </row>
    <row r="20" spans="1:5" ht="15.75" x14ac:dyDescent="0.25">
      <c r="A20" s="214" t="s">
        <v>579</v>
      </c>
      <c r="B20" s="211" t="s">
        <v>736</v>
      </c>
      <c r="C20" s="210"/>
      <c r="D20" s="211"/>
      <c r="E20" s="211"/>
    </row>
    <row r="21" spans="1:5" ht="15.75" x14ac:dyDescent="0.25">
      <c r="A21" s="214" t="s">
        <v>721</v>
      </c>
      <c r="B21" s="211" t="s">
        <v>735</v>
      </c>
      <c r="C21" s="210"/>
      <c r="D21" s="211"/>
      <c r="E21" s="211"/>
    </row>
    <row r="22" spans="1:5" ht="15.75" x14ac:dyDescent="0.25">
      <c r="A22" s="218" t="s">
        <v>689</v>
      </c>
      <c r="B22" s="216" t="s">
        <v>734</v>
      </c>
      <c r="C22" s="179"/>
      <c r="D22" s="217"/>
      <c r="E22" s="217"/>
    </row>
    <row r="23" spans="1:5" ht="15.75" x14ac:dyDescent="0.25">
      <c r="A23" s="218" t="s">
        <v>861</v>
      </c>
      <c r="B23" s="216" t="s">
        <v>733</v>
      </c>
      <c r="C23" s="179"/>
      <c r="D23" s="217"/>
      <c r="E23" s="217"/>
    </row>
    <row r="24" spans="1:5" ht="15.75" x14ac:dyDescent="0.25">
      <c r="A24" s="218" t="s">
        <v>690</v>
      </c>
      <c r="B24" s="216" t="s">
        <v>732</v>
      </c>
      <c r="C24" s="179"/>
      <c r="D24" s="217"/>
      <c r="E24" s="217"/>
    </row>
    <row r="25" spans="1:5" ht="15.75" x14ac:dyDescent="0.25">
      <c r="A25" s="218" t="s">
        <v>691</v>
      </c>
      <c r="B25" s="216" t="s">
        <v>731</v>
      </c>
      <c r="C25" s="179"/>
      <c r="D25" s="217"/>
      <c r="E25" s="217"/>
    </row>
    <row r="26" spans="1:5" ht="15.75" x14ac:dyDescent="0.25">
      <c r="A26" s="218" t="s">
        <v>692</v>
      </c>
      <c r="B26" s="262" t="s">
        <v>730</v>
      </c>
      <c r="C26" s="179"/>
      <c r="D26" s="217"/>
      <c r="E26" s="217"/>
    </row>
    <row r="27" spans="1:5" ht="15.75" x14ac:dyDescent="0.25">
      <c r="A27" s="218" t="s">
        <v>693</v>
      </c>
      <c r="B27" s="216" t="s">
        <v>865</v>
      </c>
      <c r="C27" s="179"/>
      <c r="D27" s="217"/>
      <c r="E27" s="217"/>
    </row>
    <row r="28" spans="1:5" ht="15.75" x14ac:dyDescent="0.25">
      <c r="A28" s="218" t="s">
        <v>694</v>
      </c>
      <c r="B28" s="216" t="s">
        <v>729</v>
      </c>
      <c r="C28" s="179"/>
      <c r="D28" s="217"/>
      <c r="E28" s="217"/>
    </row>
    <row r="29" spans="1:5" ht="15.75" x14ac:dyDescent="0.25">
      <c r="A29" s="218" t="s">
        <v>695</v>
      </c>
      <c r="B29" s="216" t="s">
        <v>728</v>
      </c>
      <c r="C29" s="179"/>
      <c r="D29" s="217"/>
      <c r="E29" s="217"/>
    </row>
    <row r="30" spans="1:5" ht="15.75" x14ac:dyDescent="0.25">
      <c r="A30" s="218" t="s">
        <v>862</v>
      </c>
      <c r="B30" s="216" t="s">
        <v>863</v>
      </c>
      <c r="C30" s="179"/>
      <c r="D30" s="217"/>
      <c r="E30" s="217"/>
    </row>
    <row r="31" spans="1:5" ht="15.75" x14ac:dyDescent="0.25">
      <c r="A31" s="214" t="s">
        <v>581</v>
      </c>
      <c r="B31" s="211" t="s">
        <v>726</v>
      </c>
      <c r="C31" s="210"/>
      <c r="D31" s="211"/>
      <c r="E31" s="211"/>
    </row>
    <row r="32" spans="1:5" ht="15.75" x14ac:dyDescent="0.25">
      <c r="A32" s="218" t="s">
        <v>696</v>
      </c>
      <c r="B32" s="216" t="s">
        <v>725</v>
      </c>
      <c r="C32" s="179"/>
      <c r="D32" s="217"/>
      <c r="E32" s="217"/>
    </row>
    <row r="33" spans="1:5" ht="15.75" x14ac:dyDescent="0.25">
      <c r="A33" s="218" t="s">
        <v>697</v>
      </c>
      <c r="B33" s="216" t="s">
        <v>727</v>
      </c>
      <c r="C33" s="179"/>
      <c r="D33" s="217"/>
      <c r="E33" s="217"/>
    </row>
    <row r="34" spans="1:5" ht="15.75" x14ac:dyDescent="0.25">
      <c r="A34" s="218" t="s">
        <v>698</v>
      </c>
      <c r="B34" s="216" t="s">
        <v>864</v>
      </c>
      <c r="C34" s="179"/>
      <c r="D34" s="217"/>
      <c r="E34" s="217"/>
    </row>
    <row r="35" spans="1:5" ht="15.75" x14ac:dyDescent="0.25">
      <c r="A35" s="218" t="s">
        <v>699</v>
      </c>
      <c r="B35" s="216" t="s">
        <v>724</v>
      </c>
      <c r="C35" s="179"/>
      <c r="D35" s="217"/>
      <c r="E35" s="217"/>
    </row>
    <row r="36" spans="1:5" ht="15.75" x14ac:dyDescent="0.25">
      <c r="A36" s="214" t="s">
        <v>583</v>
      </c>
      <c r="B36" s="211" t="s">
        <v>723</v>
      </c>
      <c r="C36" s="210"/>
      <c r="D36" s="210"/>
      <c r="E36" s="210"/>
    </row>
    <row r="37" spans="1:5" ht="15.75" x14ac:dyDescent="0.25">
      <c r="A37" s="218" t="s">
        <v>857</v>
      </c>
      <c r="B37" s="216" t="s">
        <v>859</v>
      </c>
      <c r="C37" s="179"/>
      <c r="D37" s="217"/>
      <c r="E37" s="217"/>
    </row>
    <row r="38" spans="1:5" ht="15.75" x14ac:dyDescent="0.25">
      <c r="A38" s="218" t="s">
        <v>858</v>
      </c>
      <c r="B38" s="216" t="s">
        <v>860</v>
      </c>
      <c r="C38" s="179"/>
      <c r="D38" s="217"/>
      <c r="E38" s="217"/>
    </row>
    <row r="39" spans="1:5" ht="15.75" x14ac:dyDescent="0.25">
      <c r="A39" s="268" t="s">
        <v>585</v>
      </c>
      <c r="B39" s="269" t="s">
        <v>745</v>
      </c>
      <c r="C39" s="179"/>
      <c r="D39" s="217"/>
      <c r="E39" s="217"/>
    </row>
    <row r="40" spans="1:5" s="267" customFormat="1" ht="15.75" x14ac:dyDescent="0.25">
      <c r="A40" s="264" t="s">
        <v>587</v>
      </c>
      <c r="B40" s="265" t="s">
        <v>722</v>
      </c>
      <c r="C40" s="266"/>
      <c r="D40" s="211"/>
      <c r="E40" s="211"/>
    </row>
    <row r="41" spans="1:5" ht="15.75" x14ac:dyDescent="0.25">
      <c r="A41" s="218" t="s">
        <v>855</v>
      </c>
      <c r="B41" s="258" t="s">
        <v>848</v>
      </c>
      <c r="C41" s="180"/>
      <c r="D41" s="259"/>
      <c r="E41" s="259"/>
    </row>
    <row r="42" spans="1:5" ht="16.5" thickBot="1" x14ac:dyDescent="0.3">
      <c r="A42" s="218" t="s">
        <v>856</v>
      </c>
      <c r="B42" s="258" t="s">
        <v>850</v>
      </c>
      <c r="C42" s="180"/>
      <c r="D42" s="259"/>
      <c r="E42" s="259"/>
    </row>
    <row r="43" spans="1:5" ht="15.75" x14ac:dyDescent="0.25">
      <c r="A43" s="244"/>
      <c r="B43" s="245" t="s">
        <v>744</v>
      </c>
      <c r="C43" s="244"/>
      <c r="D43" s="244"/>
      <c r="E43" s="244"/>
    </row>
    <row r="44" spans="1:5" s="201" customFormat="1" ht="15.75" x14ac:dyDescent="0.25">
      <c r="A44" s="199"/>
      <c r="B44" s="200"/>
      <c r="C44" s="200"/>
      <c r="D44" s="200"/>
      <c r="E44" s="200"/>
    </row>
    <row r="45" spans="1:5" s="201" customFormat="1" ht="15.75" x14ac:dyDescent="0.25">
      <c r="A45" s="199"/>
      <c r="B45" s="200"/>
      <c r="C45" s="200"/>
      <c r="D45" s="200"/>
      <c r="E45" s="200"/>
    </row>
    <row r="46" spans="1:5" s="201" customFormat="1" ht="15.75" x14ac:dyDescent="0.25">
      <c r="A46" s="199"/>
      <c r="B46" s="200"/>
      <c r="C46" s="200"/>
      <c r="D46" s="200"/>
      <c r="E46" s="200"/>
    </row>
  </sheetData>
  <mergeCells count="2">
    <mergeCell ref="A4:E4"/>
    <mergeCell ref="A1:E1"/>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Főösszesítő&amp;R&amp;"Times New Roman,Normál"&amp;9Mennyiségi kiírás (IV. kötet)</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zoomScaleSheetLayoutView="90" workbookViewId="0">
      <selection activeCell="A49" sqref="A49"/>
    </sheetView>
  </sheetViews>
  <sheetFormatPr defaultColWidth="9.140625" defaultRowHeight="15.75" x14ac:dyDescent="0.25"/>
  <cols>
    <col min="1" max="1" width="6" style="274" customWidth="1"/>
    <col min="2" max="2" width="60.7109375" style="274" customWidth="1"/>
    <col min="3" max="3" width="10.7109375" style="274" customWidth="1"/>
    <col min="4" max="4" width="6.7109375" style="274" customWidth="1"/>
    <col min="5" max="8" width="8.7109375" style="274" customWidth="1"/>
    <col min="9" max="9" width="10.42578125" style="274" customWidth="1"/>
    <col min="10" max="16384" width="9.140625" style="274"/>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273" t="s">
        <v>668</v>
      </c>
      <c r="F2" s="273" t="s">
        <v>669</v>
      </c>
      <c r="G2" s="273" t="s">
        <v>668</v>
      </c>
      <c r="H2" s="273" t="s">
        <v>669</v>
      </c>
      <c r="I2" s="112" t="s">
        <v>670</v>
      </c>
    </row>
    <row r="3" spans="1:10" ht="16.5" thickBot="1" x14ac:dyDescent="0.3">
      <c r="A3" s="447" t="s">
        <v>174</v>
      </c>
      <c r="B3" s="447"/>
      <c r="C3" s="447"/>
      <c r="D3" s="447"/>
    </row>
    <row r="4" spans="1:10" ht="16.5" thickBot="1" x14ac:dyDescent="0.3">
      <c r="A4" s="448" t="s">
        <v>784</v>
      </c>
      <c r="B4" s="449"/>
      <c r="C4" s="449"/>
      <c r="D4" s="450"/>
      <c r="E4" s="308"/>
      <c r="F4" s="285"/>
      <c r="G4" s="285"/>
      <c r="H4" s="285"/>
      <c r="I4" s="286"/>
    </row>
    <row r="5" spans="1:10" ht="16.5" thickBot="1" x14ac:dyDescent="0.3">
      <c r="A5" s="366" t="s">
        <v>785</v>
      </c>
      <c r="B5" s="367"/>
      <c r="C5" s="367"/>
      <c r="D5" s="367"/>
      <c r="E5" s="308"/>
      <c r="F5" s="285"/>
      <c r="G5" s="285"/>
      <c r="H5" s="285"/>
      <c r="I5" s="286"/>
    </row>
    <row r="6" spans="1:10" ht="94.5" x14ac:dyDescent="0.25">
      <c r="A6" s="343">
        <v>1</v>
      </c>
      <c r="B6" s="76" t="s">
        <v>911</v>
      </c>
      <c r="C6" s="344">
        <v>168</v>
      </c>
      <c r="D6" s="345" t="s">
        <v>168</v>
      </c>
      <c r="E6" s="292"/>
      <c r="F6" s="292"/>
      <c r="G6" s="292"/>
      <c r="H6" s="292"/>
      <c r="I6" s="292"/>
    </row>
    <row r="7" spans="1:10" ht="31.5" x14ac:dyDescent="0.25">
      <c r="A7" s="343">
        <v>2</v>
      </c>
      <c r="B7" s="76" t="s">
        <v>912</v>
      </c>
      <c r="C7" s="344">
        <v>3</v>
      </c>
      <c r="D7" s="345" t="s">
        <v>24</v>
      </c>
      <c r="E7" s="292"/>
      <c r="F7" s="292"/>
      <c r="G7" s="292"/>
      <c r="H7" s="292"/>
      <c r="I7" s="292"/>
      <c r="J7" s="288"/>
    </row>
    <row r="8" spans="1:10" ht="47.25" x14ac:dyDescent="0.25">
      <c r="A8" s="343">
        <v>3</v>
      </c>
      <c r="B8" s="76" t="s">
        <v>913</v>
      </c>
      <c r="C8" s="344">
        <v>2</v>
      </c>
      <c r="D8" s="67" t="s">
        <v>24</v>
      </c>
      <c r="E8" s="292"/>
      <c r="F8" s="292"/>
      <c r="G8" s="292"/>
      <c r="H8" s="292"/>
      <c r="I8" s="292"/>
    </row>
    <row r="9" spans="1:10" ht="32.25" thickBot="1" x14ac:dyDescent="0.3">
      <c r="A9" s="273">
        <v>4</v>
      </c>
      <c r="B9" s="246" t="s">
        <v>790</v>
      </c>
      <c r="C9" s="346">
        <v>3</v>
      </c>
      <c r="D9" s="347" t="s">
        <v>24</v>
      </c>
      <c r="E9" s="348"/>
      <c r="F9" s="348"/>
      <c r="G9" s="348"/>
      <c r="H9" s="349"/>
      <c r="I9" s="348"/>
    </row>
    <row r="10" spans="1:10" ht="16.5" thickBot="1" x14ac:dyDescent="0.3">
      <c r="A10" s="366" t="s">
        <v>786</v>
      </c>
      <c r="B10" s="367"/>
      <c r="C10" s="367"/>
      <c r="D10" s="367"/>
      <c r="E10" s="308"/>
      <c r="F10" s="285"/>
      <c r="G10" s="285"/>
      <c r="H10" s="285"/>
      <c r="I10" s="286"/>
    </row>
    <row r="11" spans="1:10" ht="94.5" x14ac:dyDescent="0.25">
      <c r="A11" s="343">
        <v>1</v>
      </c>
      <c r="B11" s="76" t="s">
        <v>911</v>
      </c>
      <c r="C11" s="344">
        <v>115</v>
      </c>
      <c r="D11" s="345" t="s">
        <v>168</v>
      </c>
      <c r="E11" s="292"/>
      <c r="F11" s="292"/>
      <c r="G11" s="292"/>
      <c r="H11" s="292"/>
      <c r="I11" s="292"/>
    </row>
    <row r="12" spans="1:10" ht="31.5" x14ac:dyDescent="0.25">
      <c r="A12" s="343">
        <v>2</v>
      </c>
      <c r="B12" s="76" t="s">
        <v>914</v>
      </c>
      <c r="C12" s="344">
        <v>1</v>
      </c>
      <c r="D12" s="345" t="s">
        <v>24</v>
      </c>
      <c r="E12" s="292"/>
      <c r="F12" s="292"/>
      <c r="G12" s="292"/>
      <c r="H12" s="292"/>
      <c r="I12" s="292"/>
    </row>
  </sheetData>
  <mergeCells count="10">
    <mergeCell ref="A10:D10"/>
    <mergeCell ref="A1:A2"/>
    <mergeCell ref="B1:B2"/>
    <mergeCell ref="C1:C2"/>
    <mergeCell ref="D1:D2"/>
    <mergeCell ref="E1:F1"/>
    <mergeCell ref="G1:I1"/>
    <mergeCell ref="A3:D3"/>
    <mergeCell ref="A4:D4"/>
    <mergeCell ref="A5:D5"/>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3.6. Kerítések&amp;R&amp;"Times New Roman,Normál"&amp;9Mennyiségi kiírás (IV. kötet)</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B10" sqref="B10"/>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 style="8"/>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6.5" thickBot="1" x14ac:dyDescent="0.3">
      <c r="A3" s="411" t="s">
        <v>159</v>
      </c>
      <c r="B3" s="411"/>
      <c r="C3" s="411"/>
      <c r="D3" s="411"/>
      <c r="E3" s="2"/>
      <c r="F3" s="2"/>
      <c r="G3" s="2"/>
      <c r="H3" s="2"/>
      <c r="I3" s="2"/>
    </row>
    <row r="4" spans="1:10" ht="16.5" thickBot="1" x14ac:dyDescent="0.3">
      <c r="A4" s="392" t="s">
        <v>333</v>
      </c>
      <c r="B4" s="393"/>
      <c r="C4" s="393"/>
      <c r="D4" s="394"/>
      <c r="E4" s="133"/>
      <c r="F4" s="113"/>
      <c r="G4" s="113"/>
      <c r="H4" s="113"/>
      <c r="I4" s="114"/>
    </row>
    <row r="5" spans="1:10" ht="31.5" x14ac:dyDescent="0.25">
      <c r="A5" s="5">
        <v>1</v>
      </c>
      <c r="B5" s="52" t="s">
        <v>631</v>
      </c>
      <c r="C5" s="63">
        <v>5</v>
      </c>
      <c r="D5" s="119" t="s">
        <v>24</v>
      </c>
      <c r="E5" s="116"/>
      <c r="F5" s="117"/>
      <c r="G5" s="116"/>
      <c r="H5" s="116"/>
      <c r="I5" s="231"/>
    </row>
    <row r="6" spans="1:10" ht="31.5" x14ac:dyDescent="0.25">
      <c r="A6" s="5">
        <v>2</v>
      </c>
      <c r="B6" s="52" t="s">
        <v>632</v>
      </c>
      <c r="C6" s="63">
        <v>5</v>
      </c>
      <c r="D6" s="119" t="s">
        <v>24</v>
      </c>
      <c r="E6" s="116"/>
      <c r="F6" s="50"/>
      <c r="G6" s="116"/>
      <c r="H6" s="116"/>
      <c r="I6" s="116"/>
    </row>
    <row r="7" spans="1:10" ht="18.75" x14ac:dyDescent="0.25">
      <c r="A7" s="5">
        <v>3</v>
      </c>
      <c r="B7" s="52" t="s">
        <v>633</v>
      </c>
      <c r="C7" s="63">
        <v>10.68</v>
      </c>
      <c r="D7" s="119" t="s">
        <v>7</v>
      </c>
      <c r="E7" s="116"/>
      <c r="F7" s="117"/>
      <c r="G7" s="116"/>
      <c r="H7" s="116"/>
      <c r="I7" s="116"/>
      <c r="J7" s="166"/>
    </row>
    <row r="8" spans="1:10" ht="15.75" x14ac:dyDescent="0.25">
      <c r="A8" s="5">
        <v>4</v>
      </c>
      <c r="B8" s="52" t="s">
        <v>634</v>
      </c>
      <c r="C8" s="63">
        <v>5</v>
      </c>
      <c r="D8" s="50" t="s">
        <v>24</v>
      </c>
      <c r="E8" s="116"/>
      <c r="F8" s="116"/>
      <c r="G8" s="116"/>
      <c r="H8" s="116"/>
      <c r="I8" s="116"/>
    </row>
    <row r="9" spans="1:10" ht="31.5" x14ac:dyDescent="0.25">
      <c r="A9" s="5">
        <v>5</v>
      </c>
      <c r="B9" s="52" t="s">
        <v>659</v>
      </c>
      <c r="C9" s="63">
        <v>1.75</v>
      </c>
      <c r="D9" s="50" t="s">
        <v>2</v>
      </c>
      <c r="E9" s="116"/>
      <c r="F9" s="116"/>
      <c r="G9" s="116"/>
      <c r="H9" s="116"/>
      <c r="I9" s="116"/>
    </row>
    <row r="10" spans="1:10" ht="33" customHeight="1" x14ac:dyDescent="0.25">
      <c r="A10" s="5">
        <v>6</v>
      </c>
      <c r="B10" s="65" t="s">
        <v>993</v>
      </c>
      <c r="C10" s="63">
        <v>1.36</v>
      </c>
      <c r="D10" s="50" t="s">
        <v>2</v>
      </c>
      <c r="E10" s="116"/>
      <c r="F10" s="116"/>
      <c r="G10" s="116"/>
      <c r="H10" s="116"/>
      <c r="I10" s="116"/>
    </row>
    <row r="11" spans="1:10" ht="18.75" x14ac:dyDescent="0.25">
      <c r="A11" s="5">
        <v>7</v>
      </c>
      <c r="B11" s="52" t="s">
        <v>635</v>
      </c>
      <c r="C11" s="63">
        <v>2.87</v>
      </c>
      <c r="D11" s="50" t="s">
        <v>2</v>
      </c>
      <c r="E11" s="116"/>
      <c r="F11" s="116"/>
      <c r="G11" s="116"/>
      <c r="H11" s="116"/>
      <c r="I11" s="116"/>
    </row>
    <row r="12" spans="1:10" ht="18.75" x14ac:dyDescent="0.25">
      <c r="A12" s="5">
        <v>8</v>
      </c>
      <c r="B12" s="52" t="s">
        <v>636</v>
      </c>
      <c r="C12" s="63">
        <v>0.47</v>
      </c>
      <c r="D12" s="50" t="s">
        <v>2</v>
      </c>
      <c r="E12" s="116"/>
      <c r="F12" s="116"/>
      <c r="G12" s="116"/>
      <c r="H12" s="116"/>
      <c r="I12" s="116"/>
    </row>
    <row r="13" spans="1:10" ht="18.75" x14ac:dyDescent="0.25">
      <c r="A13" s="5">
        <v>9</v>
      </c>
      <c r="B13" s="52" t="s">
        <v>637</v>
      </c>
      <c r="C13" s="63">
        <v>0.2</v>
      </c>
      <c r="D13" s="50" t="s">
        <v>2</v>
      </c>
      <c r="E13" s="116"/>
      <c r="F13" s="116"/>
      <c r="G13" s="116"/>
      <c r="H13" s="116"/>
      <c r="I13" s="116"/>
    </row>
    <row r="14" spans="1:10" ht="15.75" x14ac:dyDescent="0.25">
      <c r="A14" s="5">
        <v>10</v>
      </c>
      <c r="B14" s="52" t="s">
        <v>638</v>
      </c>
      <c r="C14" s="63">
        <v>5</v>
      </c>
      <c r="D14" s="50" t="s">
        <v>24</v>
      </c>
      <c r="E14" s="116"/>
      <c r="F14" s="116"/>
      <c r="G14" s="116"/>
      <c r="H14" s="116"/>
      <c r="I14" s="116"/>
    </row>
    <row r="15" spans="1:10" ht="15.75" x14ac:dyDescent="0.25">
      <c r="A15" s="451" t="s">
        <v>503</v>
      </c>
      <c r="B15" s="451"/>
      <c r="C15" s="451"/>
      <c r="D15" s="451"/>
      <c r="E15" s="152"/>
      <c r="F15" s="153"/>
      <c r="G15" s="153"/>
      <c r="H15" s="153"/>
      <c r="I15" s="154"/>
    </row>
    <row r="16" spans="1:10" ht="15.75" x14ac:dyDescent="0.25">
      <c r="A16" s="69"/>
      <c r="B16" s="69"/>
      <c r="C16" s="69"/>
      <c r="D16" s="69"/>
      <c r="E16" s="2"/>
      <c r="F16" s="2"/>
      <c r="G16" s="2"/>
      <c r="H16" s="2"/>
      <c r="I16" s="2"/>
    </row>
    <row r="17" spans="1:9" ht="15.75" x14ac:dyDescent="0.25">
      <c r="A17" s="69"/>
      <c r="B17" s="362"/>
      <c r="C17" s="69"/>
      <c r="D17" s="69"/>
      <c r="E17" s="2"/>
      <c r="F17" s="2"/>
      <c r="G17" s="2"/>
      <c r="H17" s="2"/>
      <c r="I17" s="2"/>
    </row>
    <row r="18" spans="1:9" ht="15.75" x14ac:dyDescent="0.25">
      <c r="A18" s="69"/>
      <c r="B18" s="69"/>
      <c r="C18" s="69"/>
      <c r="D18" s="69"/>
      <c r="E18" s="2"/>
      <c r="F18" s="2"/>
      <c r="G18" s="2"/>
      <c r="H18" s="2"/>
      <c r="I18" s="2"/>
    </row>
    <row r="19" spans="1:9" ht="15.75" x14ac:dyDescent="0.25">
      <c r="A19" s="69"/>
      <c r="B19" s="69"/>
      <c r="C19" s="69"/>
      <c r="D19" s="69"/>
      <c r="E19" s="2"/>
      <c r="F19" s="2"/>
      <c r="G19" s="2"/>
      <c r="H19" s="2"/>
      <c r="I19" s="2"/>
    </row>
    <row r="20" spans="1:9" ht="15.75" x14ac:dyDescent="0.25">
      <c r="A20" s="69"/>
      <c r="B20" s="69"/>
      <c r="C20" s="69"/>
      <c r="D20" s="69"/>
      <c r="E20" s="2"/>
      <c r="F20" s="2"/>
      <c r="G20" s="2"/>
      <c r="H20" s="2"/>
      <c r="I20" s="2"/>
    </row>
    <row r="21" spans="1:9" ht="15.75" x14ac:dyDescent="0.25">
      <c r="A21" s="69"/>
      <c r="B21" s="69"/>
      <c r="C21" s="69"/>
      <c r="D21" s="69"/>
      <c r="E21" s="2"/>
      <c r="F21" s="2"/>
      <c r="G21" s="2"/>
      <c r="H21" s="2"/>
      <c r="I21" s="2"/>
    </row>
    <row r="22" spans="1:9" ht="15.75" x14ac:dyDescent="0.25">
      <c r="A22" s="69"/>
      <c r="B22" s="69"/>
      <c r="C22" s="69"/>
      <c r="D22" s="69"/>
      <c r="E22" s="2"/>
      <c r="F22" s="2"/>
      <c r="G22" s="2"/>
      <c r="H22" s="2"/>
      <c r="I22" s="2"/>
    </row>
    <row r="23" spans="1:9" ht="15.75" x14ac:dyDescent="0.25">
      <c r="A23" s="69"/>
      <c r="B23" s="69"/>
      <c r="C23" s="69"/>
      <c r="D23" s="69"/>
      <c r="E23" s="2"/>
      <c r="F23" s="2"/>
      <c r="G23" s="2"/>
      <c r="H23" s="2"/>
      <c r="I23" s="2"/>
    </row>
    <row r="24" spans="1:9" ht="15.75" x14ac:dyDescent="0.25">
      <c r="A24" s="69"/>
      <c r="B24" s="69"/>
      <c r="C24" s="69"/>
      <c r="D24" s="69"/>
      <c r="E24" s="2"/>
      <c r="F24" s="2"/>
      <c r="G24" s="2"/>
      <c r="H24" s="2"/>
      <c r="I24" s="2"/>
    </row>
  </sheetData>
  <mergeCells count="9">
    <mergeCell ref="E1:F1"/>
    <mergeCell ref="G1:I1"/>
    <mergeCell ref="A3:D3"/>
    <mergeCell ref="A4:D4"/>
    <mergeCell ref="A15:D15"/>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4.1. Talajvízfigyelő kutak&amp;R&amp;"Times New Roman,Normál"&amp;9Mennyiségi kiírás (IV. kötet)</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3" zoomScaleNormal="100" workbookViewId="0">
      <selection activeCell="A19" sqref="A19:XFD19"/>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 style="8"/>
  </cols>
  <sheetData>
    <row r="1" spans="1:9" ht="15.75" customHeight="1" x14ac:dyDescent="0.25">
      <c r="A1" s="399" t="s">
        <v>646</v>
      </c>
      <c r="B1" s="371" t="s">
        <v>262</v>
      </c>
      <c r="C1" s="371" t="s">
        <v>263</v>
      </c>
      <c r="D1" s="371" t="s">
        <v>264</v>
      </c>
      <c r="E1" s="371" t="s">
        <v>666</v>
      </c>
      <c r="F1" s="371"/>
      <c r="G1" s="371" t="s">
        <v>667</v>
      </c>
      <c r="H1" s="371"/>
      <c r="I1" s="372"/>
    </row>
    <row r="2" spans="1:9" ht="15.75" customHeight="1" thickBot="1" x14ac:dyDescent="0.3">
      <c r="A2" s="400"/>
      <c r="B2" s="375"/>
      <c r="C2" s="375"/>
      <c r="D2" s="375"/>
      <c r="E2" s="118" t="s">
        <v>668</v>
      </c>
      <c r="F2" s="118" t="s">
        <v>669</v>
      </c>
      <c r="G2" s="118" t="s">
        <v>668</v>
      </c>
      <c r="H2" s="118" t="s">
        <v>669</v>
      </c>
      <c r="I2" s="112" t="s">
        <v>670</v>
      </c>
    </row>
    <row r="3" spans="1:9" ht="16.5" thickBot="1" x14ac:dyDescent="0.3">
      <c r="A3" s="411" t="s">
        <v>159</v>
      </c>
      <c r="B3" s="411"/>
      <c r="C3" s="411"/>
      <c r="D3" s="411"/>
      <c r="E3" s="2"/>
      <c r="F3" s="2"/>
      <c r="G3" s="2"/>
      <c r="H3" s="2"/>
      <c r="I3" s="2"/>
    </row>
    <row r="4" spans="1:9" ht="16.5" thickBot="1" x14ac:dyDescent="0.3">
      <c r="A4" s="392" t="s">
        <v>160</v>
      </c>
      <c r="B4" s="393"/>
      <c r="C4" s="393"/>
      <c r="D4" s="394"/>
      <c r="E4" s="133"/>
      <c r="F4" s="113"/>
      <c r="G4" s="113"/>
      <c r="H4" s="113"/>
      <c r="I4" s="114"/>
    </row>
    <row r="5" spans="1:9" ht="16.5" thickBot="1" x14ac:dyDescent="0.3">
      <c r="A5" s="405" t="s">
        <v>4</v>
      </c>
      <c r="B5" s="406"/>
      <c r="C5" s="406"/>
      <c r="D5" s="407"/>
      <c r="E5" s="133"/>
      <c r="F5" s="113"/>
      <c r="G5" s="113"/>
      <c r="H5" s="113"/>
      <c r="I5" s="114"/>
    </row>
    <row r="6" spans="1:9" ht="32.25" thickBot="1" x14ac:dyDescent="0.3">
      <c r="A6" s="3">
        <v>1</v>
      </c>
      <c r="B6" s="4" t="s">
        <v>161</v>
      </c>
      <c r="C6" s="54">
        <v>5</v>
      </c>
      <c r="D6" s="120" t="s">
        <v>2</v>
      </c>
      <c r="E6" s="117"/>
      <c r="F6" s="117"/>
      <c r="G6" s="117"/>
      <c r="H6" s="117"/>
      <c r="I6" s="117"/>
    </row>
    <row r="7" spans="1:9" ht="16.5" thickBot="1" x14ac:dyDescent="0.3">
      <c r="A7" s="405" t="s">
        <v>162</v>
      </c>
      <c r="B7" s="406"/>
      <c r="C7" s="406"/>
      <c r="D7" s="407"/>
      <c r="E7" s="133"/>
      <c r="F7" s="113"/>
      <c r="G7" s="113"/>
      <c r="H7" s="113"/>
      <c r="I7" s="225"/>
    </row>
    <row r="8" spans="1:9" ht="16.5" thickBot="1" x14ac:dyDescent="0.3">
      <c r="A8" s="377" t="s">
        <v>163</v>
      </c>
      <c r="B8" s="378"/>
      <c r="C8" s="378"/>
      <c r="D8" s="378"/>
      <c r="E8" s="133"/>
      <c r="F8" s="113"/>
      <c r="G8" s="113"/>
      <c r="H8" s="113"/>
      <c r="I8" s="114"/>
    </row>
    <row r="9" spans="1:9" ht="47.25" x14ac:dyDescent="0.25">
      <c r="A9" s="3">
        <v>1</v>
      </c>
      <c r="B9" s="4" t="s">
        <v>164</v>
      </c>
      <c r="C9" s="54">
        <v>1</v>
      </c>
      <c r="D9" s="120" t="s">
        <v>24</v>
      </c>
      <c r="E9" s="117"/>
      <c r="F9" s="117"/>
      <c r="G9" s="117"/>
      <c r="H9" s="117"/>
      <c r="I9" s="117"/>
    </row>
    <row r="10" spans="1:9" ht="63" x14ac:dyDescent="0.25">
      <c r="A10" s="3">
        <v>2</v>
      </c>
      <c r="B10" s="4" t="s">
        <v>165</v>
      </c>
      <c r="C10" s="54">
        <v>1</v>
      </c>
      <c r="D10" s="120" t="s">
        <v>24</v>
      </c>
      <c r="E10" s="117"/>
      <c r="F10" s="117"/>
      <c r="G10" s="117"/>
      <c r="H10" s="117"/>
      <c r="I10" s="117"/>
    </row>
    <row r="11" spans="1:9" ht="47.25" x14ac:dyDescent="0.25">
      <c r="A11" s="3">
        <f t="shared" ref="A11" si="0">A10+1</f>
        <v>3</v>
      </c>
      <c r="B11" s="4" t="s">
        <v>166</v>
      </c>
      <c r="C11" s="54">
        <v>20</v>
      </c>
      <c r="D11" s="120" t="s">
        <v>7</v>
      </c>
      <c r="E11" s="117"/>
      <c r="F11" s="117"/>
      <c r="G11" s="117"/>
      <c r="H11" s="117"/>
      <c r="I11" s="117"/>
    </row>
    <row r="12" spans="1:9" ht="31.5" x14ac:dyDescent="0.25">
      <c r="A12" s="3">
        <f>A11+1</f>
        <v>4</v>
      </c>
      <c r="B12" s="4" t="s">
        <v>776</v>
      </c>
      <c r="C12" s="54">
        <v>64</v>
      </c>
      <c r="D12" s="120" t="s">
        <v>7</v>
      </c>
      <c r="E12" s="117"/>
      <c r="F12" s="117"/>
      <c r="G12" s="117"/>
      <c r="H12" s="117"/>
      <c r="I12" s="117"/>
    </row>
    <row r="13" spans="1:9" ht="48" thickBot="1" x14ac:dyDescent="0.3">
      <c r="A13" s="5">
        <f>A12+1</f>
        <v>5</v>
      </c>
      <c r="B13" s="52" t="s">
        <v>167</v>
      </c>
      <c r="C13" s="60">
        <v>7</v>
      </c>
      <c r="D13" s="119" t="s">
        <v>168</v>
      </c>
      <c r="E13" s="117"/>
      <c r="F13" s="117"/>
      <c r="G13" s="117"/>
      <c r="H13" s="117"/>
      <c r="I13" s="117"/>
    </row>
    <row r="14" spans="1:9" ht="16.5" thickBot="1" x14ac:dyDescent="0.3">
      <c r="A14" s="377" t="s">
        <v>169</v>
      </c>
      <c r="B14" s="378"/>
      <c r="C14" s="378"/>
      <c r="D14" s="378"/>
      <c r="E14" s="133"/>
      <c r="F14" s="113"/>
      <c r="G14" s="113"/>
      <c r="H14" s="113"/>
      <c r="I14" s="114"/>
    </row>
    <row r="15" spans="1:9" ht="30" x14ac:dyDescent="0.25">
      <c r="A15" s="3">
        <v>1</v>
      </c>
      <c r="B15" s="221" t="s">
        <v>777</v>
      </c>
      <c r="C15" s="54">
        <v>7</v>
      </c>
      <c r="D15" s="120" t="s">
        <v>168</v>
      </c>
      <c r="E15" s="117"/>
      <c r="F15" s="117"/>
      <c r="G15" s="117"/>
      <c r="H15" s="117"/>
      <c r="I15" s="117"/>
    </row>
    <row r="16" spans="1:9" ht="45" x14ac:dyDescent="0.25">
      <c r="A16" s="5">
        <v>2</v>
      </c>
      <c r="B16" s="222" t="s">
        <v>778</v>
      </c>
      <c r="C16" s="60">
        <v>30</v>
      </c>
      <c r="D16" s="119" t="s">
        <v>168</v>
      </c>
      <c r="E16" s="117"/>
      <c r="F16" s="117"/>
      <c r="G16" s="117"/>
      <c r="H16" s="117"/>
      <c r="I16" s="117"/>
    </row>
    <row r="17" spans="1:9" ht="30.75" thickBot="1" x14ac:dyDescent="0.3">
      <c r="A17" s="5">
        <v>3</v>
      </c>
      <c r="B17" s="249" t="s">
        <v>779</v>
      </c>
      <c r="C17" s="208">
        <v>3</v>
      </c>
      <c r="D17" s="119" t="s">
        <v>24</v>
      </c>
      <c r="E17" s="117"/>
      <c r="F17" s="117"/>
      <c r="G17" s="117"/>
      <c r="H17" s="117"/>
      <c r="I17" s="117"/>
    </row>
    <row r="18" spans="1:9" ht="16.5" thickBot="1" x14ac:dyDescent="0.3">
      <c r="A18" s="377" t="s">
        <v>170</v>
      </c>
      <c r="B18" s="378"/>
      <c r="C18" s="378"/>
      <c r="D18" s="378"/>
      <c r="E18" s="133"/>
      <c r="F18" s="113"/>
      <c r="G18" s="113"/>
      <c r="H18" s="113"/>
      <c r="I18" s="114"/>
    </row>
    <row r="19" spans="1:9" ht="15.75" x14ac:dyDescent="0.25">
      <c r="A19" s="3">
        <v>1</v>
      </c>
      <c r="B19" s="4" t="s">
        <v>171</v>
      </c>
      <c r="C19" s="54">
        <v>28</v>
      </c>
      <c r="D19" s="120" t="s">
        <v>168</v>
      </c>
      <c r="E19" s="117"/>
      <c r="F19" s="117"/>
      <c r="G19" s="117"/>
      <c r="H19" s="117"/>
      <c r="I19" s="117"/>
    </row>
    <row r="20" spans="1:9" ht="31.5" x14ac:dyDescent="0.25">
      <c r="A20" s="5">
        <v>2</v>
      </c>
      <c r="B20" s="52" t="s">
        <v>172</v>
      </c>
      <c r="C20" s="208">
        <v>14</v>
      </c>
      <c r="D20" s="119" t="s">
        <v>168</v>
      </c>
      <c r="E20" s="117"/>
      <c r="F20" s="117"/>
      <c r="G20" s="117"/>
      <c r="H20" s="117"/>
      <c r="I20" s="117"/>
    </row>
    <row r="21" spans="1:9" ht="15.75" x14ac:dyDescent="0.25">
      <c r="A21" s="452" t="s">
        <v>503</v>
      </c>
      <c r="B21" s="453"/>
      <c r="C21" s="453"/>
      <c r="D21" s="453"/>
      <c r="E21" s="149"/>
      <c r="F21" s="150"/>
      <c r="G21" s="150"/>
      <c r="H21" s="150"/>
      <c r="I21" s="151"/>
    </row>
  </sheetData>
  <mergeCells count="14">
    <mergeCell ref="G1:I1"/>
    <mergeCell ref="A1:A2"/>
    <mergeCell ref="B1:B2"/>
    <mergeCell ref="C1:C2"/>
    <mergeCell ref="D1:D2"/>
    <mergeCell ref="E1:F1"/>
    <mergeCell ref="A21:D21"/>
    <mergeCell ref="A18:D18"/>
    <mergeCell ref="A14:D14"/>
    <mergeCell ref="A8:D8"/>
    <mergeCell ref="A3:D3"/>
    <mergeCell ref="A4:D4"/>
    <mergeCell ref="A5:D5"/>
    <mergeCell ref="A7:D7"/>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4.2. Bácsa vízmérce&amp;R&amp;"Times New Roman,Normál"&amp;9Mennyiségi kiírás (IV. kötet)</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A19" sqref="A19:XFD1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140625" style="8"/>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6.5" thickBot="1" x14ac:dyDescent="0.3">
      <c r="A3" s="411" t="s">
        <v>159</v>
      </c>
      <c r="B3" s="411"/>
      <c r="C3" s="411"/>
      <c r="D3" s="411"/>
      <c r="E3" s="2"/>
      <c r="F3" s="2"/>
      <c r="G3" s="2"/>
      <c r="H3" s="2"/>
      <c r="I3" s="2"/>
    </row>
    <row r="4" spans="1:10" ht="16.5" thickBot="1" x14ac:dyDescent="0.3">
      <c r="A4" s="392" t="s">
        <v>780</v>
      </c>
      <c r="B4" s="393"/>
      <c r="C4" s="393"/>
      <c r="D4" s="394"/>
      <c r="E4" s="133"/>
      <c r="F4" s="113"/>
      <c r="G4" s="113"/>
      <c r="H4" s="113"/>
      <c r="I4" s="114"/>
    </row>
    <row r="5" spans="1:10" ht="78" customHeight="1" x14ac:dyDescent="0.25">
      <c r="A5" s="5">
        <v>1</v>
      </c>
      <c r="B5" s="223" t="s">
        <v>781</v>
      </c>
      <c r="C5" s="50">
        <v>2</v>
      </c>
      <c r="D5" s="119" t="s">
        <v>24</v>
      </c>
      <c r="E5" s="117"/>
      <c r="F5" s="117"/>
      <c r="G5" s="117"/>
      <c r="H5" s="117"/>
      <c r="I5" s="117"/>
    </row>
    <row r="6" spans="1:10" ht="31.5" x14ac:dyDescent="0.25">
      <c r="A6" s="5">
        <v>2</v>
      </c>
      <c r="B6" s="59" t="s">
        <v>517</v>
      </c>
      <c r="C6" s="50">
        <v>2</v>
      </c>
      <c r="D6" s="119" t="s">
        <v>24</v>
      </c>
      <c r="E6" s="117"/>
      <c r="F6" s="117"/>
      <c r="G6" s="117"/>
      <c r="H6" s="117"/>
      <c r="I6" s="117"/>
    </row>
    <row r="7" spans="1:10" ht="15" customHeight="1" x14ac:dyDescent="0.25">
      <c r="A7" s="454" t="s">
        <v>518</v>
      </c>
      <c r="B7" s="454"/>
      <c r="C7" s="454"/>
      <c r="D7" s="455"/>
      <c r="E7" s="117"/>
      <c r="F7" s="117"/>
      <c r="G7" s="117"/>
      <c r="H7" s="117"/>
      <c r="I7" s="117"/>
      <c r="J7" s="166"/>
    </row>
    <row r="10" spans="1:10" ht="15.75" customHeight="1" x14ac:dyDescent="0.25"/>
  </sheetData>
  <mergeCells count="9">
    <mergeCell ref="E1:F1"/>
    <mergeCell ref="G1:I1"/>
    <mergeCell ref="A7:D7"/>
    <mergeCell ref="A3:D3"/>
    <mergeCell ref="A4:D4"/>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4.3. Vízállás-távmérés alépítményei&amp;R&amp;"Times New Roman,Normál"&amp;9Mennyiségi kiírás (IV. kötet)</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5" zoomScaleNormal="100" workbookViewId="0">
      <selection activeCell="J19" sqref="J19"/>
    </sheetView>
  </sheetViews>
  <sheetFormatPr defaultColWidth="9" defaultRowHeight="15.75" x14ac:dyDescent="0.25"/>
  <cols>
    <col min="1" max="1" width="6" style="93" customWidth="1"/>
    <col min="2" max="2" width="60.7109375" style="93" customWidth="1"/>
    <col min="3" max="3" width="10.7109375" style="93" customWidth="1"/>
    <col min="4" max="4" width="6.7109375" style="93" customWidth="1"/>
    <col min="5" max="8" width="8.7109375" style="93" customWidth="1"/>
    <col min="9" max="9" width="10.42578125" style="93" customWidth="1"/>
    <col min="10" max="16384" width="9" style="93"/>
  </cols>
  <sheetData>
    <row r="1" spans="1:9" ht="15.75" customHeight="1" x14ac:dyDescent="0.25">
      <c r="A1" s="399" t="s">
        <v>646</v>
      </c>
      <c r="B1" s="371" t="s">
        <v>262</v>
      </c>
      <c r="C1" s="371" t="s">
        <v>263</v>
      </c>
      <c r="D1" s="371" t="s">
        <v>264</v>
      </c>
      <c r="E1" s="371" t="s">
        <v>666</v>
      </c>
      <c r="F1" s="371"/>
      <c r="G1" s="371" t="s">
        <v>667</v>
      </c>
      <c r="H1" s="371"/>
      <c r="I1" s="372"/>
    </row>
    <row r="2" spans="1:9" ht="15.75" customHeight="1" thickBot="1" x14ac:dyDescent="0.3">
      <c r="A2" s="400"/>
      <c r="B2" s="375"/>
      <c r="C2" s="375"/>
      <c r="D2" s="375"/>
      <c r="E2" s="118" t="s">
        <v>668</v>
      </c>
      <c r="F2" s="118" t="s">
        <v>669</v>
      </c>
      <c r="G2" s="118" t="s">
        <v>668</v>
      </c>
      <c r="H2" s="118" t="s">
        <v>669</v>
      </c>
      <c r="I2" s="112" t="s">
        <v>670</v>
      </c>
    </row>
    <row r="3" spans="1:9" x14ac:dyDescent="0.25">
      <c r="A3" s="376" t="s">
        <v>159</v>
      </c>
      <c r="B3" s="376"/>
      <c r="C3" s="376"/>
      <c r="D3" s="389"/>
      <c r="E3" s="143"/>
      <c r="F3" s="144"/>
      <c r="G3" s="144"/>
      <c r="H3" s="144"/>
      <c r="I3" s="145"/>
    </row>
    <row r="4" spans="1:9" ht="16.5" thickBot="1" x14ac:dyDescent="0.3">
      <c r="A4" s="390" t="s">
        <v>334</v>
      </c>
      <c r="B4" s="390"/>
      <c r="C4" s="390"/>
      <c r="D4" s="391"/>
      <c r="E4" s="146"/>
      <c r="F4" s="147"/>
      <c r="G4" s="147"/>
      <c r="H4" s="147"/>
      <c r="I4" s="148"/>
    </row>
    <row r="5" spans="1:9" ht="16.5" thickBot="1" x14ac:dyDescent="0.3">
      <c r="A5" s="377" t="s">
        <v>493</v>
      </c>
      <c r="B5" s="401"/>
      <c r="C5" s="401"/>
      <c r="D5" s="401"/>
      <c r="E5" s="134"/>
      <c r="F5" s="135"/>
      <c r="G5" s="135"/>
      <c r="H5" s="135"/>
      <c r="I5" s="136"/>
    </row>
    <row r="6" spans="1:9" ht="50.25" x14ac:dyDescent="0.25">
      <c r="A6" s="3">
        <v>1</v>
      </c>
      <c r="B6" s="43" t="s">
        <v>715</v>
      </c>
      <c r="C6" s="95">
        <v>12</v>
      </c>
      <c r="D6" s="121" t="s">
        <v>24</v>
      </c>
      <c r="E6" s="128"/>
      <c r="F6" s="128"/>
      <c r="G6" s="128"/>
      <c r="H6" s="128"/>
      <c r="I6" s="128"/>
    </row>
    <row r="7" spans="1:9" ht="50.25" x14ac:dyDescent="0.25">
      <c r="A7" s="3">
        <v>2</v>
      </c>
      <c r="B7" s="205" t="s">
        <v>716</v>
      </c>
      <c r="C7" s="95">
        <v>600</v>
      </c>
      <c r="D7" s="121" t="s">
        <v>168</v>
      </c>
      <c r="E7" s="128"/>
      <c r="F7" s="128"/>
      <c r="G7" s="128"/>
      <c r="H7" s="128"/>
      <c r="I7" s="128"/>
    </row>
    <row r="8" spans="1:9" ht="97.5" x14ac:dyDescent="0.25">
      <c r="A8" s="3">
        <v>3</v>
      </c>
      <c r="B8" s="41" t="s">
        <v>717</v>
      </c>
      <c r="C8" s="95">
        <v>2</v>
      </c>
      <c r="D8" s="122" t="s">
        <v>298</v>
      </c>
      <c r="E8" s="128"/>
      <c r="F8" s="128"/>
      <c r="G8" s="128"/>
      <c r="H8" s="128"/>
      <c r="I8" s="128"/>
    </row>
    <row r="9" spans="1:9" ht="50.25" x14ac:dyDescent="0.25">
      <c r="A9" s="3">
        <v>4</v>
      </c>
      <c r="B9" s="41" t="s">
        <v>713</v>
      </c>
      <c r="C9" s="95">
        <v>2</v>
      </c>
      <c r="D9" s="57" t="s">
        <v>298</v>
      </c>
      <c r="E9" s="128"/>
      <c r="F9" s="128"/>
      <c r="G9" s="128"/>
      <c r="H9" s="128"/>
      <c r="I9" s="128"/>
    </row>
    <row r="10" spans="1:9" ht="31.5" x14ac:dyDescent="0.25">
      <c r="A10" s="3">
        <v>5</v>
      </c>
      <c r="B10" s="41" t="s">
        <v>314</v>
      </c>
      <c r="C10" s="75">
        <v>3</v>
      </c>
      <c r="D10" s="57" t="s">
        <v>298</v>
      </c>
      <c r="E10" s="128"/>
      <c r="F10" s="128"/>
      <c r="G10" s="128"/>
      <c r="H10" s="128"/>
      <c r="I10" s="128"/>
    </row>
    <row r="11" spans="1:9" ht="15.75" customHeight="1" x14ac:dyDescent="0.25">
      <c r="A11" s="3">
        <v>6</v>
      </c>
      <c r="B11" s="41" t="s">
        <v>315</v>
      </c>
      <c r="C11" s="75">
        <v>1</v>
      </c>
      <c r="D11" s="57" t="s">
        <v>298</v>
      </c>
      <c r="E11" s="128"/>
      <c r="F11" s="128"/>
      <c r="G11" s="128"/>
      <c r="H11" s="128"/>
      <c r="I11" s="128"/>
    </row>
    <row r="12" spans="1:9" ht="78.75" x14ac:dyDescent="0.25">
      <c r="A12" s="3">
        <v>7</v>
      </c>
      <c r="B12" s="205" t="s">
        <v>714</v>
      </c>
      <c r="C12" s="75">
        <v>1</v>
      </c>
      <c r="D12" s="57" t="s">
        <v>298</v>
      </c>
      <c r="E12" s="128"/>
      <c r="F12" s="128"/>
      <c r="G12" s="128"/>
      <c r="H12" s="128"/>
      <c r="I12" s="128"/>
    </row>
    <row r="13" spans="1:9" ht="50.25" x14ac:dyDescent="0.25">
      <c r="A13" s="3">
        <v>8</v>
      </c>
      <c r="B13" s="41" t="s">
        <v>316</v>
      </c>
      <c r="C13" s="103">
        <v>800</v>
      </c>
      <c r="D13" s="57" t="s">
        <v>168</v>
      </c>
      <c r="E13" s="128"/>
      <c r="F13" s="128"/>
      <c r="G13" s="128"/>
      <c r="H13" s="128"/>
      <c r="I13" s="128"/>
    </row>
    <row r="14" spans="1:9" ht="110.25" x14ac:dyDescent="0.25">
      <c r="A14" s="3">
        <v>9</v>
      </c>
      <c r="B14" s="41" t="s">
        <v>317</v>
      </c>
      <c r="C14" s="103">
        <v>1</v>
      </c>
      <c r="D14" s="57" t="s">
        <v>298</v>
      </c>
      <c r="E14" s="128"/>
      <c r="F14" s="128"/>
      <c r="G14" s="128"/>
      <c r="H14" s="128"/>
      <c r="I14" s="128"/>
    </row>
    <row r="15" spans="1:9" ht="31.5" x14ac:dyDescent="0.25">
      <c r="A15" s="3">
        <v>10</v>
      </c>
      <c r="B15" s="41" t="s">
        <v>318</v>
      </c>
      <c r="C15" s="103">
        <v>1</v>
      </c>
      <c r="D15" s="57" t="s">
        <v>298</v>
      </c>
      <c r="E15" s="128"/>
      <c r="F15" s="128"/>
      <c r="G15" s="128"/>
      <c r="H15" s="128"/>
      <c r="I15" s="128"/>
    </row>
    <row r="16" spans="1:9" ht="31.5" x14ac:dyDescent="0.25">
      <c r="A16" s="3">
        <v>11</v>
      </c>
      <c r="B16" s="41" t="s">
        <v>319</v>
      </c>
      <c r="C16" s="26">
        <v>1</v>
      </c>
      <c r="D16" s="57" t="s">
        <v>298</v>
      </c>
      <c r="E16" s="128"/>
      <c r="F16" s="128"/>
      <c r="G16" s="128"/>
      <c r="H16" s="128"/>
      <c r="I16" s="128"/>
    </row>
    <row r="17" spans="1:9" ht="126" x14ac:dyDescent="0.25">
      <c r="A17" s="3">
        <v>12</v>
      </c>
      <c r="B17" s="41" t="s">
        <v>320</v>
      </c>
      <c r="C17" s="103">
        <v>1</v>
      </c>
      <c r="D17" s="57" t="s">
        <v>298</v>
      </c>
      <c r="E17" s="128"/>
      <c r="F17" s="128"/>
      <c r="G17" s="128"/>
      <c r="H17" s="128"/>
      <c r="I17" s="128"/>
    </row>
    <row r="18" spans="1:9" ht="78.75" x14ac:dyDescent="0.25">
      <c r="A18" s="3">
        <v>13</v>
      </c>
      <c r="B18" s="202" t="s">
        <v>321</v>
      </c>
      <c r="C18" s="103">
        <v>1</v>
      </c>
      <c r="D18" s="57" t="s">
        <v>298</v>
      </c>
      <c r="E18" s="128"/>
      <c r="F18" s="128"/>
      <c r="G18" s="128"/>
      <c r="H18" s="128"/>
      <c r="I18" s="128"/>
    </row>
    <row r="19" spans="1:9" ht="31.5" x14ac:dyDescent="0.25">
      <c r="A19" s="3">
        <v>14</v>
      </c>
      <c r="B19" s="59" t="s">
        <v>712</v>
      </c>
      <c r="C19" s="103">
        <v>1</v>
      </c>
      <c r="D19" s="57" t="s">
        <v>298</v>
      </c>
      <c r="E19" s="128"/>
      <c r="F19" s="128"/>
      <c r="G19" s="128"/>
      <c r="H19" s="128"/>
      <c r="I19" s="128"/>
    </row>
    <row r="20" spans="1:9" ht="47.25" x14ac:dyDescent="0.25">
      <c r="A20" s="3">
        <v>15</v>
      </c>
      <c r="B20" s="45" t="s">
        <v>704</v>
      </c>
      <c r="C20" s="75">
        <v>1</v>
      </c>
      <c r="D20" s="57" t="s">
        <v>298</v>
      </c>
      <c r="E20" s="128"/>
      <c r="F20" s="128"/>
      <c r="G20" s="128"/>
      <c r="H20" s="128"/>
      <c r="I20" s="128"/>
    </row>
    <row r="21" spans="1:9" ht="63" x14ac:dyDescent="0.25">
      <c r="A21" s="3">
        <v>16</v>
      </c>
      <c r="B21" s="45" t="s">
        <v>705</v>
      </c>
      <c r="C21" s="75">
        <v>1</v>
      </c>
      <c r="D21" s="57" t="s">
        <v>298</v>
      </c>
      <c r="E21" s="128"/>
      <c r="F21" s="128"/>
      <c r="G21" s="128"/>
      <c r="H21" s="128"/>
      <c r="I21" s="128"/>
    </row>
    <row r="22" spans="1:9" ht="48" thickBot="1" x14ac:dyDescent="0.3">
      <c r="A22" s="3">
        <v>17</v>
      </c>
      <c r="B22" s="45" t="s">
        <v>706</v>
      </c>
      <c r="C22" s="204">
        <v>1</v>
      </c>
      <c r="D22" s="203" t="s">
        <v>298</v>
      </c>
      <c r="E22" s="128"/>
      <c r="F22" s="128"/>
      <c r="G22" s="128"/>
      <c r="H22" s="128"/>
      <c r="I22" s="128"/>
    </row>
    <row r="23" spans="1:9" ht="16.5" thickBot="1" x14ac:dyDescent="0.3">
      <c r="A23" s="456" t="s">
        <v>500</v>
      </c>
      <c r="B23" s="457"/>
      <c r="C23" s="457"/>
      <c r="D23" s="457"/>
      <c r="E23" s="134"/>
      <c r="F23" s="135"/>
      <c r="G23" s="135"/>
      <c r="H23" s="135"/>
      <c r="I23" s="136"/>
    </row>
    <row r="24" spans="1:9" ht="48" thickBot="1" x14ac:dyDescent="0.3">
      <c r="A24" s="3">
        <v>1</v>
      </c>
      <c r="B24" s="61" t="s">
        <v>494</v>
      </c>
      <c r="C24" s="71">
        <v>5</v>
      </c>
      <c r="D24" s="120" t="s">
        <v>298</v>
      </c>
      <c r="E24" s="128"/>
      <c r="F24" s="128"/>
      <c r="G24" s="128"/>
      <c r="H24" s="128"/>
      <c r="I24" s="128"/>
    </row>
    <row r="25" spans="1:9" ht="16.5" thickBot="1" x14ac:dyDescent="0.3">
      <c r="A25" s="456" t="s">
        <v>501</v>
      </c>
      <c r="B25" s="457"/>
      <c r="C25" s="457"/>
      <c r="D25" s="457"/>
      <c r="E25" s="134"/>
      <c r="F25" s="135"/>
      <c r="G25" s="135"/>
      <c r="H25" s="135"/>
      <c r="I25" s="136"/>
    </row>
    <row r="26" spans="1:9" ht="98.25" thickBot="1" x14ac:dyDescent="0.3">
      <c r="A26" s="3">
        <v>1</v>
      </c>
      <c r="B26" s="61" t="s">
        <v>495</v>
      </c>
      <c r="C26" s="71">
        <v>3</v>
      </c>
      <c r="D26" s="120" t="s">
        <v>298</v>
      </c>
      <c r="E26" s="128"/>
      <c r="F26" s="128"/>
      <c r="G26" s="128"/>
      <c r="H26" s="128"/>
      <c r="I26" s="128"/>
    </row>
    <row r="27" spans="1:9" ht="16.5" thickBot="1" x14ac:dyDescent="0.3">
      <c r="A27" s="456" t="s">
        <v>502</v>
      </c>
      <c r="B27" s="457"/>
      <c r="C27" s="457"/>
      <c r="D27" s="457"/>
      <c r="E27" s="134"/>
      <c r="F27" s="135"/>
      <c r="G27" s="135"/>
      <c r="H27" s="135"/>
      <c r="I27" s="136"/>
    </row>
    <row r="28" spans="1:9" ht="66" x14ac:dyDescent="0.25">
      <c r="A28" s="3">
        <v>1</v>
      </c>
      <c r="B28" s="61" t="s">
        <v>496</v>
      </c>
      <c r="C28" s="224">
        <v>5300</v>
      </c>
      <c r="D28" s="120" t="s">
        <v>168</v>
      </c>
      <c r="E28" s="128"/>
      <c r="F28" s="128"/>
      <c r="G28" s="128"/>
      <c r="H28" s="128"/>
      <c r="I28" s="128"/>
    </row>
    <row r="29" spans="1:9" ht="47.25" x14ac:dyDescent="0.25">
      <c r="A29" s="5">
        <v>2</v>
      </c>
      <c r="B29" s="59" t="s">
        <v>312</v>
      </c>
      <c r="C29" s="70">
        <v>4000</v>
      </c>
      <c r="D29" s="119" t="s">
        <v>168</v>
      </c>
      <c r="E29" s="128"/>
      <c r="F29" s="128"/>
      <c r="G29" s="128"/>
      <c r="H29" s="128"/>
      <c r="I29" s="128"/>
    </row>
    <row r="30" spans="1:9" x14ac:dyDescent="0.25">
      <c r="A30" s="5">
        <v>3</v>
      </c>
      <c r="B30" s="59" t="s">
        <v>497</v>
      </c>
      <c r="C30" s="70">
        <v>4000</v>
      </c>
      <c r="D30" s="119" t="s">
        <v>168</v>
      </c>
      <c r="E30" s="128"/>
      <c r="F30" s="128"/>
      <c r="G30" s="128"/>
      <c r="H30" s="128"/>
      <c r="I30" s="128"/>
    </row>
    <row r="31" spans="1:9" ht="31.5" x14ac:dyDescent="0.25">
      <c r="A31" s="5">
        <v>4</v>
      </c>
      <c r="B31" s="59" t="s">
        <v>498</v>
      </c>
      <c r="C31" s="70">
        <v>10</v>
      </c>
      <c r="D31" s="119" t="s">
        <v>24</v>
      </c>
      <c r="E31" s="128"/>
      <c r="F31" s="128"/>
      <c r="G31" s="128"/>
      <c r="H31" s="128"/>
      <c r="I31" s="128"/>
    </row>
    <row r="32" spans="1:9" ht="31.5" x14ac:dyDescent="0.25">
      <c r="A32" s="5">
        <v>5</v>
      </c>
      <c r="B32" s="59" t="s">
        <v>499</v>
      </c>
      <c r="C32" s="70">
        <v>1</v>
      </c>
      <c r="D32" s="119" t="s">
        <v>298</v>
      </c>
      <c r="E32" s="128"/>
      <c r="F32" s="128"/>
      <c r="G32" s="128"/>
      <c r="H32" s="128"/>
      <c r="I32" s="128"/>
    </row>
  </sheetData>
  <mergeCells count="12">
    <mergeCell ref="G1:I1"/>
    <mergeCell ref="A1:A2"/>
    <mergeCell ref="B1:B2"/>
    <mergeCell ref="C1:C2"/>
    <mergeCell ref="D1:D2"/>
    <mergeCell ref="E1:F1"/>
    <mergeCell ref="A23:D23"/>
    <mergeCell ref="A25:D25"/>
    <mergeCell ref="A27:D27"/>
    <mergeCell ref="A5:D5"/>
    <mergeCell ref="A3:D3"/>
    <mergeCell ref="A4:D4"/>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4.4. Irányítástechnika&amp;R&amp;"Times New Roman,Normál"&amp;9Mennyiségi kiírás (IV. kötet)</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zoomScalePageLayoutView="83" workbookViewId="0">
      <selection activeCell="A19" sqref="A19:XFD1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140625" style="8"/>
  </cols>
  <sheetData>
    <row r="1" spans="1:9" ht="15.75" customHeight="1" x14ac:dyDescent="0.25">
      <c r="A1" s="399" t="s">
        <v>265</v>
      </c>
      <c r="B1" s="371" t="s">
        <v>262</v>
      </c>
      <c r="C1" s="371" t="s">
        <v>263</v>
      </c>
      <c r="D1" s="371" t="s">
        <v>264</v>
      </c>
      <c r="E1" s="371" t="s">
        <v>666</v>
      </c>
      <c r="F1" s="371"/>
      <c r="G1" s="371" t="s">
        <v>667</v>
      </c>
      <c r="H1" s="371"/>
      <c r="I1" s="372"/>
    </row>
    <row r="2" spans="1:9" ht="15.75" customHeight="1" thickBot="1" x14ac:dyDescent="0.3">
      <c r="A2" s="400"/>
      <c r="B2" s="375"/>
      <c r="C2" s="375"/>
      <c r="D2" s="375"/>
      <c r="E2" s="118" t="s">
        <v>668</v>
      </c>
      <c r="F2" s="118" t="s">
        <v>669</v>
      </c>
      <c r="G2" s="118" t="s">
        <v>668</v>
      </c>
      <c r="H2" s="118" t="s">
        <v>669</v>
      </c>
      <c r="I2" s="112" t="s">
        <v>670</v>
      </c>
    </row>
    <row r="3" spans="1:9" ht="15.75" customHeight="1" thickBot="1" x14ac:dyDescent="0.3">
      <c r="A3" s="458" t="s">
        <v>701</v>
      </c>
      <c r="B3" s="459"/>
      <c r="C3" s="459"/>
      <c r="D3" s="459"/>
      <c r="E3" s="256"/>
      <c r="F3" s="256"/>
      <c r="G3" s="256"/>
      <c r="H3" s="256"/>
      <c r="I3" s="257"/>
    </row>
    <row r="4" spans="1:9" ht="16.5" thickBot="1" x14ac:dyDescent="0.3">
      <c r="A4" s="386" t="s">
        <v>838</v>
      </c>
      <c r="B4" s="395"/>
      <c r="C4" s="395"/>
      <c r="D4" s="395"/>
      <c r="E4" s="133"/>
      <c r="F4" s="113"/>
      <c r="G4" s="113"/>
      <c r="H4" s="113"/>
      <c r="I4" s="114"/>
    </row>
    <row r="5" spans="1:9" ht="57.75" customHeight="1" x14ac:dyDescent="0.25">
      <c r="A5" s="5">
        <v>1</v>
      </c>
      <c r="B5" s="57" t="s">
        <v>808</v>
      </c>
      <c r="C5" s="50">
        <v>1</v>
      </c>
      <c r="D5" s="119" t="s">
        <v>650</v>
      </c>
      <c r="E5" s="115"/>
      <c r="F5" s="115"/>
      <c r="G5" s="115"/>
      <c r="H5" s="115"/>
      <c r="I5" s="115"/>
    </row>
    <row r="6" spans="1:9" ht="74.25" customHeight="1" x14ac:dyDescent="0.25">
      <c r="A6" s="5">
        <f>A5+1</f>
        <v>2</v>
      </c>
      <c r="B6" s="57" t="s">
        <v>809</v>
      </c>
      <c r="C6" s="64">
        <v>6</v>
      </c>
      <c r="D6" s="119" t="s">
        <v>24</v>
      </c>
      <c r="E6" s="116"/>
      <c r="F6" s="116"/>
      <c r="G6" s="116"/>
      <c r="H6" s="116"/>
      <c r="I6" s="116"/>
    </row>
    <row r="7" spans="1:9" ht="63" x14ac:dyDescent="0.25">
      <c r="A7" s="5">
        <f>A6+1</f>
        <v>3</v>
      </c>
      <c r="B7" s="52" t="s">
        <v>792</v>
      </c>
      <c r="C7" s="50">
        <v>2</v>
      </c>
      <c r="D7" s="50" t="s">
        <v>24</v>
      </c>
      <c r="E7" s="117"/>
      <c r="F7" s="117"/>
      <c r="G7" s="117"/>
      <c r="H7" s="117"/>
      <c r="I7" s="117"/>
    </row>
    <row r="9" spans="1:9" ht="15.75" customHeight="1" x14ac:dyDescent="0.25"/>
  </sheetData>
  <mergeCells count="8">
    <mergeCell ref="E1:F1"/>
    <mergeCell ref="G1:I1"/>
    <mergeCell ref="A4:D4"/>
    <mergeCell ref="A1:A2"/>
    <mergeCell ref="B1:B2"/>
    <mergeCell ref="C1:C2"/>
    <mergeCell ref="D1:D2"/>
    <mergeCell ref="A3:D3"/>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5.1. Hajózási létesítmények&amp;R&amp;"Times New Roman,Normál"&amp;9Mennyiségi kiírás (IV. kötet)</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zoomScalePageLayoutView="83" workbookViewId="0">
      <selection activeCell="A19" sqref="A19:XFD19"/>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140625" style="8"/>
  </cols>
  <sheetData>
    <row r="1" spans="1:10" ht="15.75" customHeight="1" x14ac:dyDescent="0.25">
      <c r="A1" s="399" t="s">
        <v>265</v>
      </c>
      <c r="B1" s="371" t="s">
        <v>262</v>
      </c>
      <c r="C1" s="371" t="s">
        <v>263</v>
      </c>
      <c r="D1" s="371" t="s">
        <v>264</v>
      </c>
      <c r="E1" s="371" t="s">
        <v>666</v>
      </c>
      <c r="F1" s="371"/>
      <c r="G1" s="371" t="s">
        <v>667</v>
      </c>
      <c r="H1" s="371"/>
      <c r="I1" s="372"/>
    </row>
    <row r="2" spans="1:10" ht="15.75" customHeight="1" thickBot="1" x14ac:dyDescent="0.3">
      <c r="A2" s="400"/>
      <c r="B2" s="375"/>
      <c r="C2" s="375"/>
      <c r="D2" s="375"/>
      <c r="E2" s="254" t="s">
        <v>668</v>
      </c>
      <c r="F2" s="254" t="s">
        <v>669</v>
      </c>
      <c r="G2" s="254" t="s">
        <v>668</v>
      </c>
      <c r="H2" s="254" t="s">
        <v>669</v>
      </c>
      <c r="I2" s="112" t="s">
        <v>670</v>
      </c>
    </row>
    <row r="3" spans="1:10" ht="15.75" customHeight="1" thickBot="1" x14ac:dyDescent="0.3">
      <c r="A3" s="458" t="s">
        <v>701</v>
      </c>
      <c r="B3" s="459"/>
      <c r="C3" s="459"/>
      <c r="D3" s="459"/>
      <c r="E3" s="256"/>
      <c r="F3" s="256"/>
      <c r="G3" s="256"/>
      <c r="H3" s="256"/>
      <c r="I3" s="257"/>
    </row>
    <row r="4" spans="1:10" ht="16.5" thickBot="1" x14ac:dyDescent="0.3">
      <c r="A4" s="386" t="s">
        <v>839</v>
      </c>
      <c r="B4" s="395"/>
      <c r="C4" s="395"/>
      <c r="D4" s="395"/>
      <c r="E4" s="133"/>
      <c r="F4" s="113"/>
      <c r="G4" s="113"/>
      <c r="H4" s="113"/>
      <c r="I4" s="114"/>
    </row>
    <row r="5" spans="1:10" ht="141.75" x14ac:dyDescent="0.25">
      <c r="A5" s="3">
        <v>1</v>
      </c>
      <c r="B5" s="4" t="s">
        <v>519</v>
      </c>
      <c r="C5" s="47">
        <v>2</v>
      </c>
      <c r="D5" s="120" t="s">
        <v>24</v>
      </c>
      <c r="E5" s="117"/>
      <c r="F5" s="117"/>
      <c r="G5" s="117"/>
      <c r="H5" s="117"/>
      <c r="I5" s="117"/>
    </row>
    <row r="6" spans="1:10" ht="31.5" x14ac:dyDescent="0.25">
      <c r="A6" s="5">
        <f>A5+1</f>
        <v>2</v>
      </c>
      <c r="B6" s="52" t="s">
        <v>649</v>
      </c>
      <c r="C6" s="50">
        <v>1</v>
      </c>
      <c r="D6" s="119" t="s">
        <v>650</v>
      </c>
      <c r="E6" s="117"/>
      <c r="F6" s="117"/>
      <c r="G6" s="117"/>
      <c r="H6" s="117"/>
      <c r="I6" s="117"/>
      <c r="J6" s="166"/>
    </row>
    <row r="8" spans="1:10" ht="15.75" customHeight="1" x14ac:dyDescent="0.25"/>
  </sheetData>
  <mergeCells count="8">
    <mergeCell ref="E1:F1"/>
    <mergeCell ref="G1:I1"/>
    <mergeCell ref="A4:D4"/>
    <mergeCell ref="A3:D3"/>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5.2. Ideiglenes létesítmények&amp;R&amp;"Times New Roman,Normál"&amp;9Mennyiségi kiírás (IV. kötet)</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PageLayoutView="84" workbookViewId="0">
      <selection activeCell="J6" sqref="J6"/>
    </sheetView>
  </sheetViews>
  <sheetFormatPr defaultColWidth="9.140625"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140625" style="8"/>
  </cols>
  <sheetData>
    <row r="1" spans="1:10" ht="18.75" customHeight="1" x14ac:dyDescent="0.25">
      <c r="A1" s="399" t="s">
        <v>646</v>
      </c>
      <c r="B1" s="371" t="s">
        <v>262</v>
      </c>
      <c r="C1" s="371" t="s">
        <v>263</v>
      </c>
      <c r="D1" s="371" t="s">
        <v>264</v>
      </c>
      <c r="E1" s="371" t="s">
        <v>666</v>
      </c>
      <c r="F1" s="371"/>
      <c r="G1" s="371" t="s">
        <v>667</v>
      </c>
      <c r="H1" s="371"/>
      <c r="I1" s="372"/>
    </row>
    <row r="2" spans="1:10" ht="18.75" customHeight="1" thickBot="1" x14ac:dyDescent="0.3">
      <c r="A2" s="400"/>
      <c r="B2" s="375"/>
      <c r="C2" s="375"/>
      <c r="D2" s="375"/>
      <c r="E2" s="273" t="s">
        <v>668</v>
      </c>
      <c r="F2" s="273" t="s">
        <v>669</v>
      </c>
      <c r="G2" s="273" t="s">
        <v>668</v>
      </c>
      <c r="H2" s="273" t="s">
        <v>669</v>
      </c>
      <c r="I2" s="112" t="s">
        <v>670</v>
      </c>
    </row>
    <row r="3" spans="1:10" ht="15.75" customHeight="1" thickBot="1" x14ac:dyDescent="0.3">
      <c r="A3" s="460" t="s">
        <v>746</v>
      </c>
      <c r="B3" s="461"/>
      <c r="C3" s="461"/>
      <c r="D3" s="461"/>
      <c r="E3" s="350"/>
      <c r="F3" s="350"/>
      <c r="G3" s="350"/>
      <c r="H3" s="350"/>
      <c r="I3" s="351"/>
    </row>
    <row r="4" spans="1:10" ht="15.75" customHeight="1" x14ac:dyDescent="0.25">
      <c r="A4" s="56">
        <v>1</v>
      </c>
      <c r="B4" s="212" t="s">
        <v>989</v>
      </c>
      <c r="C4" s="213">
        <v>2</v>
      </c>
      <c r="D4" s="213" t="s">
        <v>24</v>
      </c>
      <c r="E4" s="352"/>
      <c r="F4" s="352"/>
      <c r="G4" s="352"/>
      <c r="H4" s="352"/>
      <c r="I4" s="352"/>
    </row>
    <row r="5" spans="1:10" ht="15.75" customHeight="1" x14ac:dyDescent="0.25">
      <c r="A5" s="56">
        <v>2</v>
      </c>
      <c r="B5" s="212" t="s">
        <v>749</v>
      </c>
      <c r="C5" s="213">
        <v>2</v>
      </c>
      <c r="D5" s="213" t="s">
        <v>24</v>
      </c>
      <c r="E5" s="352"/>
      <c r="F5" s="352"/>
      <c r="G5" s="352"/>
      <c r="H5" s="352"/>
      <c r="I5" s="352"/>
    </row>
    <row r="6" spans="1:10" ht="15.75" x14ac:dyDescent="0.25">
      <c r="A6" s="56">
        <v>3</v>
      </c>
      <c r="B6" s="212" t="s">
        <v>750</v>
      </c>
      <c r="C6" s="213">
        <v>3</v>
      </c>
      <c r="D6" s="213" t="s">
        <v>24</v>
      </c>
      <c r="E6" s="352"/>
      <c r="F6" s="352"/>
      <c r="G6" s="352"/>
      <c r="H6" s="352"/>
      <c r="I6" s="353"/>
    </row>
    <row r="7" spans="1:10" ht="15.75" customHeight="1" x14ac:dyDescent="0.25">
      <c r="A7" s="462">
        <v>4</v>
      </c>
      <c r="B7" s="468" t="s">
        <v>992</v>
      </c>
      <c r="C7" s="464">
        <v>2</v>
      </c>
      <c r="D7" s="464" t="s">
        <v>24</v>
      </c>
      <c r="E7" s="466"/>
      <c r="F7" s="466"/>
      <c r="G7" s="466"/>
      <c r="H7" s="466"/>
      <c r="I7" s="466"/>
      <c r="J7" s="166"/>
    </row>
    <row r="8" spans="1:10" ht="15.75" customHeight="1" x14ac:dyDescent="0.25">
      <c r="A8" s="463"/>
      <c r="B8" s="469"/>
      <c r="C8" s="465"/>
      <c r="D8" s="465"/>
      <c r="E8" s="467"/>
      <c r="F8" s="467"/>
      <c r="G8" s="467"/>
      <c r="H8" s="467"/>
      <c r="I8" s="467"/>
      <c r="J8" s="166"/>
    </row>
    <row r="9" spans="1:10" ht="15.75" x14ac:dyDescent="0.25">
      <c r="A9" s="56">
        <v>5</v>
      </c>
      <c r="B9" s="354" t="s">
        <v>990</v>
      </c>
      <c r="C9" s="213">
        <v>1</v>
      </c>
      <c r="D9" s="213" t="s">
        <v>24</v>
      </c>
      <c r="E9" s="352"/>
      <c r="F9" s="352"/>
      <c r="G9" s="352"/>
      <c r="H9" s="352"/>
      <c r="I9" s="352"/>
    </row>
    <row r="10" spans="1:10" ht="15.75" customHeight="1" x14ac:dyDescent="0.25">
      <c r="A10" s="56">
        <v>6</v>
      </c>
      <c r="B10" s="212" t="s">
        <v>751</v>
      </c>
      <c r="C10" s="213">
        <v>1</v>
      </c>
      <c r="D10" s="213" t="s">
        <v>24</v>
      </c>
      <c r="E10" s="352"/>
      <c r="F10" s="352"/>
      <c r="G10" s="352"/>
      <c r="H10" s="352"/>
      <c r="I10" s="352"/>
    </row>
    <row r="11" spans="1:10" ht="15.75" customHeight="1" x14ac:dyDescent="0.25">
      <c r="A11" s="56">
        <v>7</v>
      </c>
      <c r="B11" s="212" t="s">
        <v>752</v>
      </c>
      <c r="C11" s="213">
        <v>1</v>
      </c>
      <c r="D11" s="213" t="s">
        <v>24</v>
      </c>
      <c r="E11" s="352"/>
      <c r="F11" s="352"/>
      <c r="G11" s="352"/>
      <c r="H11" s="352"/>
      <c r="I11" s="352"/>
    </row>
    <row r="12" spans="1:10" ht="15.75" customHeight="1" x14ac:dyDescent="0.25">
      <c r="A12" s="56">
        <v>8</v>
      </c>
      <c r="B12" s="212" t="s">
        <v>753</v>
      </c>
      <c r="C12" s="213">
        <v>1</v>
      </c>
      <c r="D12" s="213" t="s">
        <v>24</v>
      </c>
      <c r="E12" s="352"/>
      <c r="F12" s="352"/>
      <c r="G12" s="352"/>
      <c r="H12" s="352"/>
      <c r="I12" s="352"/>
    </row>
    <row r="13" spans="1:10" ht="15.75" x14ac:dyDescent="0.25">
      <c r="A13" s="56">
        <v>9</v>
      </c>
      <c r="B13" s="212" t="s">
        <v>754</v>
      </c>
      <c r="C13" s="213">
        <v>1</v>
      </c>
      <c r="D13" s="213" t="s">
        <v>24</v>
      </c>
      <c r="E13" s="352"/>
      <c r="F13" s="352"/>
      <c r="G13" s="352"/>
      <c r="H13" s="352"/>
      <c r="I13" s="352"/>
    </row>
    <row r="14" spans="1:10" ht="15.75" customHeight="1" x14ac:dyDescent="0.25">
      <c r="A14" s="56">
        <v>10</v>
      </c>
      <c r="B14" s="212" t="s">
        <v>755</v>
      </c>
      <c r="C14" s="213">
        <v>1</v>
      </c>
      <c r="D14" s="213" t="s">
        <v>24</v>
      </c>
      <c r="E14" s="352"/>
      <c r="F14" s="352"/>
      <c r="G14" s="352"/>
      <c r="H14" s="352"/>
      <c r="I14" s="352"/>
    </row>
    <row r="15" spans="1:10" ht="15.75" customHeight="1" x14ac:dyDescent="0.25">
      <c r="A15" s="56">
        <v>11</v>
      </c>
      <c r="B15" s="212" t="s">
        <v>756</v>
      </c>
      <c r="C15" s="213">
        <v>1</v>
      </c>
      <c r="D15" s="213" t="s">
        <v>24</v>
      </c>
      <c r="E15" s="353"/>
      <c r="F15" s="353"/>
      <c r="G15" s="353"/>
      <c r="H15" s="353"/>
      <c r="I15" s="353"/>
    </row>
    <row r="16" spans="1:10" ht="15.75" customHeight="1" x14ac:dyDescent="0.25">
      <c r="A16" s="56">
        <v>12</v>
      </c>
      <c r="B16" s="212" t="s">
        <v>757</v>
      </c>
      <c r="C16" s="213">
        <v>1</v>
      </c>
      <c r="D16" s="213" t="s">
        <v>24</v>
      </c>
      <c r="E16" s="179"/>
      <c r="F16" s="179"/>
      <c r="G16" s="179"/>
      <c r="H16" s="179"/>
      <c r="I16" s="179"/>
    </row>
    <row r="17" spans="1:9" ht="15.75" customHeight="1" x14ac:dyDescent="0.25">
      <c r="A17" s="56">
        <v>13</v>
      </c>
      <c r="B17" s="212" t="s">
        <v>758</v>
      </c>
      <c r="C17" s="213">
        <v>1</v>
      </c>
      <c r="D17" s="213" t="s">
        <v>24</v>
      </c>
      <c r="E17" s="179"/>
      <c r="F17" s="179"/>
      <c r="G17" s="179"/>
      <c r="H17" s="179"/>
      <c r="I17" s="179"/>
    </row>
    <row r="18" spans="1:9" ht="15.75" customHeight="1" x14ac:dyDescent="0.25">
      <c r="A18" s="56">
        <v>14</v>
      </c>
      <c r="B18" s="212" t="s">
        <v>759</v>
      </c>
      <c r="C18" s="213">
        <v>1</v>
      </c>
      <c r="D18" s="213" t="s">
        <v>24</v>
      </c>
      <c r="E18" s="179"/>
      <c r="F18" s="179"/>
      <c r="G18" s="179"/>
      <c r="H18" s="179"/>
      <c r="I18" s="179"/>
    </row>
    <row r="19" spans="1:9" ht="15.75" customHeight="1" x14ac:dyDescent="0.25">
      <c r="A19" s="56">
        <v>15</v>
      </c>
      <c r="B19" s="212" t="s">
        <v>760</v>
      </c>
      <c r="C19" s="213">
        <v>1</v>
      </c>
      <c r="D19" s="213" t="s">
        <v>24</v>
      </c>
      <c r="E19" s="179"/>
      <c r="F19" s="179"/>
      <c r="G19" s="179"/>
      <c r="H19" s="179"/>
      <c r="I19" s="179"/>
    </row>
    <row r="20" spans="1:9" ht="15.75" customHeight="1" x14ac:dyDescent="0.25">
      <c r="A20" s="56">
        <v>16</v>
      </c>
      <c r="B20" s="212" t="s">
        <v>761</v>
      </c>
      <c r="C20" s="213">
        <v>2</v>
      </c>
      <c r="D20" s="213" t="s">
        <v>24</v>
      </c>
      <c r="E20" s="179"/>
      <c r="F20" s="179"/>
      <c r="G20" s="179"/>
      <c r="H20" s="179"/>
      <c r="I20" s="179"/>
    </row>
    <row r="21" spans="1:9" ht="17.25" customHeight="1" x14ac:dyDescent="0.25">
      <c r="A21" s="462">
        <v>17</v>
      </c>
      <c r="B21" s="468" t="s">
        <v>991</v>
      </c>
      <c r="C21" s="464">
        <v>1</v>
      </c>
      <c r="D21" s="464" t="s">
        <v>24</v>
      </c>
      <c r="E21" s="470"/>
      <c r="F21" s="470"/>
      <c r="G21" s="470"/>
      <c r="H21" s="470"/>
      <c r="I21" s="470"/>
    </row>
    <row r="22" spans="1:9" ht="15.75" customHeight="1" x14ac:dyDescent="0.25">
      <c r="A22" s="463"/>
      <c r="B22" s="469"/>
      <c r="C22" s="465"/>
      <c r="D22" s="465"/>
      <c r="E22" s="471"/>
      <c r="F22" s="471"/>
      <c r="G22" s="471"/>
      <c r="H22" s="471"/>
      <c r="I22" s="471"/>
    </row>
    <row r="23" spans="1:9" ht="15.75" customHeight="1" x14ac:dyDescent="0.25">
      <c r="A23" s="56">
        <v>18</v>
      </c>
      <c r="B23" s="212" t="s">
        <v>762</v>
      </c>
      <c r="C23" s="213">
        <v>1</v>
      </c>
      <c r="D23" s="213" t="s">
        <v>24</v>
      </c>
      <c r="E23" s="179"/>
      <c r="F23" s="179"/>
      <c r="G23" s="179"/>
      <c r="H23" s="179"/>
      <c r="I23" s="179"/>
    </row>
    <row r="24" spans="1:9" ht="15.75" customHeight="1" x14ac:dyDescent="0.25">
      <c r="A24" s="56">
        <v>19</v>
      </c>
      <c r="B24" s="212" t="s">
        <v>763</v>
      </c>
      <c r="C24" s="213">
        <v>1</v>
      </c>
      <c r="D24" s="213" t="s">
        <v>24</v>
      </c>
      <c r="E24" s="179"/>
      <c r="F24" s="179"/>
      <c r="G24" s="179"/>
      <c r="H24" s="179"/>
      <c r="I24" s="179"/>
    </row>
    <row r="25" spans="1:9" ht="15.75" customHeight="1" x14ac:dyDescent="0.25">
      <c r="A25" s="56">
        <v>20</v>
      </c>
      <c r="B25" s="212" t="s">
        <v>764</v>
      </c>
      <c r="C25" s="213">
        <v>1</v>
      </c>
      <c r="D25" s="213" t="s">
        <v>13</v>
      </c>
      <c r="E25" s="179"/>
      <c r="F25" s="179"/>
      <c r="G25" s="179"/>
      <c r="H25" s="179"/>
      <c r="I25" s="179"/>
    </row>
    <row r="26" spans="1:9" ht="15.75" customHeight="1" x14ac:dyDescent="0.25">
      <c r="A26" s="56">
        <v>21</v>
      </c>
      <c r="B26" s="212" t="s">
        <v>765</v>
      </c>
      <c r="C26" s="213">
        <v>1</v>
      </c>
      <c r="D26" s="213" t="s">
        <v>24</v>
      </c>
      <c r="E26" s="179"/>
      <c r="F26" s="179"/>
      <c r="G26" s="179"/>
      <c r="H26" s="179"/>
      <c r="I26" s="179"/>
    </row>
  </sheetData>
  <mergeCells count="25">
    <mergeCell ref="G7:G8"/>
    <mergeCell ref="H7:H8"/>
    <mergeCell ref="I7:I8"/>
    <mergeCell ref="G21:G22"/>
    <mergeCell ref="H21:H22"/>
    <mergeCell ref="I21:I22"/>
    <mergeCell ref="A21:A22"/>
    <mergeCell ref="C21:C22"/>
    <mergeCell ref="D21:D22"/>
    <mergeCell ref="E21:E22"/>
    <mergeCell ref="F21:F22"/>
    <mergeCell ref="B21:B22"/>
    <mergeCell ref="A7:A8"/>
    <mergeCell ref="C7:C8"/>
    <mergeCell ref="D7:D8"/>
    <mergeCell ref="E7:E8"/>
    <mergeCell ref="F7:F8"/>
    <mergeCell ref="B7:B8"/>
    <mergeCell ref="E1:F1"/>
    <mergeCell ref="G1:I1"/>
    <mergeCell ref="A3:D3"/>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6. Beszerzendő eszközök&amp;R&amp;"Times New Roman,Normál"&amp;9Mennyiségi kiírás (IV. kötet)</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PageLayoutView="84" workbookViewId="0">
      <selection activeCell="B26" sqref="B26"/>
    </sheetView>
  </sheetViews>
  <sheetFormatPr defaultColWidth="9.140625" defaultRowHeight="15" x14ac:dyDescent="0.25"/>
  <cols>
    <col min="1" max="1" width="6" style="239" customWidth="1"/>
    <col min="2" max="2" width="60.7109375" style="239" customWidth="1"/>
    <col min="3" max="3" width="10.7109375" style="239" customWidth="1"/>
    <col min="4" max="4" width="6.7109375" style="239" customWidth="1"/>
    <col min="5" max="8" width="8.7109375" style="239" customWidth="1"/>
    <col min="9" max="9" width="10.42578125" style="239" customWidth="1"/>
    <col min="10" max="10" width="26.85546875" style="239" customWidth="1"/>
    <col min="11" max="16384" width="9.140625" style="239"/>
  </cols>
  <sheetData>
    <row r="1" spans="1:9" ht="18.75" customHeight="1" x14ac:dyDescent="0.25">
      <c r="A1" s="399" t="s">
        <v>646</v>
      </c>
      <c r="B1" s="371" t="s">
        <v>262</v>
      </c>
      <c r="C1" s="371" t="s">
        <v>263</v>
      </c>
      <c r="D1" s="371" t="s">
        <v>264</v>
      </c>
      <c r="E1" s="371" t="s">
        <v>666</v>
      </c>
      <c r="F1" s="371"/>
      <c r="G1" s="371" t="s">
        <v>667</v>
      </c>
      <c r="H1" s="371"/>
      <c r="I1" s="372"/>
    </row>
    <row r="2" spans="1:9" ht="18.75" customHeight="1" thickBot="1" x14ac:dyDescent="0.3">
      <c r="A2" s="400"/>
      <c r="B2" s="375"/>
      <c r="C2" s="375"/>
      <c r="D2" s="375"/>
      <c r="E2" s="238" t="s">
        <v>668</v>
      </c>
      <c r="F2" s="238" t="s">
        <v>669</v>
      </c>
      <c r="G2" s="238" t="s">
        <v>668</v>
      </c>
      <c r="H2" s="238" t="s">
        <v>669</v>
      </c>
      <c r="I2" s="112" t="s">
        <v>670</v>
      </c>
    </row>
    <row r="3" spans="1:9" ht="15.75" customHeight="1" thickBot="1" x14ac:dyDescent="0.3">
      <c r="A3" s="472" t="s">
        <v>747</v>
      </c>
      <c r="B3" s="473"/>
      <c r="C3" s="473"/>
      <c r="D3" s="473"/>
      <c r="E3" s="240"/>
      <c r="F3" s="240"/>
      <c r="G3" s="240"/>
      <c r="H3" s="240"/>
      <c r="I3" s="241"/>
    </row>
    <row r="4" spans="1:9" ht="15.75" customHeight="1" thickBot="1" x14ac:dyDescent="0.3">
      <c r="A4" s="472" t="s">
        <v>849</v>
      </c>
      <c r="B4" s="473"/>
      <c r="C4" s="473"/>
      <c r="D4" s="473"/>
      <c r="E4" s="240"/>
      <c r="F4" s="240"/>
      <c r="G4" s="240"/>
      <c r="H4" s="240"/>
      <c r="I4" s="241"/>
    </row>
    <row r="5" spans="1:9" ht="15.75" customHeight="1" x14ac:dyDescent="0.25">
      <c r="A5" s="229">
        <v>1</v>
      </c>
      <c r="B5" s="37" t="s">
        <v>671</v>
      </c>
      <c r="C5" s="79"/>
      <c r="D5" s="79"/>
      <c r="E5" s="242"/>
      <c r="F5" s="242"/>
      <c r="G5" s="242"/>
      <c r="H5" s="242"/>
      <c r="I5" s="242"/>
    </row>
  </sheetData>
  <mergeCells count="8">
    <mergeCell ref="E1:F1"/>
    <mergeCell ref="G1:I1"/>
    <mergeCell ref="A3:D3"/>
    <mergeCell ref="A4:D4"/>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7.1. Kiviteli tervkészítés&amp;R&amp;"Times New Roman,Normál"&amp;9Mennyiségi kiírás (IV. kötet)</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3" zoomScaleNormal="100" zoomScalePageLayoutView="84" workbookViewId="0">
      <selection activeCell="A19" sqref="A19:XFD19"/>
    </sheetView>
  </sheetViews>
  <sheetFormatPr defaultColWidth="9.140625" defaultRowHeight="15" x14ac:dyDescent="0.25"/>
  <cols>
    <col min="1" max="1" width="6" style="239" customWidth="1"/>
    <col min="2" max="2" width="60.7109375" style="239" customWidth="1"/>
    <col min="3" max="3" width="10.7109375" style="239" customWidth="1"/>
    <col min="4" max="4" width="6.7109375" style="239" customWidth="1"/>
    <col min="5" max="8" width="8.7109375" style="239" customWidth="1"/>
    <col min="9" max="9" width="10.42578125" style="239" customWidth="1"/>
    <col min="10" max="10" width="26.85546875" style="239" customWidth="1"/>
    <col min="11" max="16384" width="9.140625" style="239"/>
  </cols>
  <sheetData>
    <row r="1" spans="1:9" ht="18.75" customHeight="1" x14ac:dyDescent="0.25">
      <c r="A1" s="399" t="s">
        <v>646</v>
      </c>
      <c r="B1" s="371" t="s">
        <v>262</v>
      </c>
      <c r="C1" s="371" t="s">
        <v>263</v>
      </c>
      <c r="D1" s="371" t="s">
        <v>264</v>
      </c>
      <c r="E1" s="371" t="s">
        <v>666</v>
      </c>
      <c r="F1" s="371"/>
      <c r="G1" s="371" t="s">
        <v>667</v>
      </c>
      <c r="H1" s="371"/>
      <c r="I1" s="372"/>
    </row>
    <row r="2" spans="1:9" ht="18.75" customHeight="1" thickBot="1" x14ac:dyDescent="0.3">
      <c r="A2" s="400"/>
      <c r="B2" s="375"/>
      <c r="C2" s="375"/>
      <c r="D2" s="375"/>
      <c r="E2" s="254" t="s">
        <v>668</v>
      </c>
      <c r="F2" s="254" t="s">
        <v>669</v>
      </c>
      <c r="G2" s="254" t="s">
        <v>668</v>
      </c>
      <c r="H2" s="254" t="s">
        <v>669</v>
      </c>
      <c r="I2" s="112" t="s">
        <v>670</v>
      </c>
    </row>
    <row r="3" spans="1:9" ht="18.75" customHeight="1" thickBot="1" x14ac:dyDescent="0.3">
      <c r="A3" s="472" t="s">
        <v>747</v>
      </c>
      <c r="B3" s="473"/>
      <c r="C3" s="473"/>
      <c r="D3" s="473"/>
      <c r="E3" s="256"/>
      <c r="F3" s="256"/>
      <c r="G3" s="256"/>
      <c r="H3" s="256"/>
      <c r="I3" s="257"/>
    </row>
    <row r="4" spans="1:9" ht="15.75" customHeight="1" thickBot="1" x14ac:dyDescent="0.3">
      <c r="A4" s="472" t="s">
        <v>840</v>
      </c>
      <c r="B4" s="473"/>
      <c r="C4" s="473"/>
      <c r="D4" s="473"/>
      <c r="E4" s="240"/>
      <c r="F4" s="240"/>
      <c r="G4" s="240"/>
      <c r="H4" s="240"/>
      <c r="I4" s="241"/>
    </row>
    <row r="5" spans="1:9" ht="15.75" customHeight="1" thickBot="1" x14ac:dyDescent="0.3">
      <c r="A5" s="474" t="s">
        <v>841</v>
      </c>
      <c r="B5" s="474"/>
      <c r="C5" s="474"/>
      <c r="D5" s="474"/>
      <c r="E5" s="240"/>
      <c r="F5" s="240"/>
      <c r="G5" s="240"/>
      <c r="H5" s="240"/>
      <c r="I5" s="241"/>
    </row>
    <row r="6" spans="1:9" ht="94.5" x14ac:dyDescent="0.25">
      <c r="A6" s="227">
        <v>1</v>
      </c>
      <c r="B6" s="57" t="s">
        <v>796</v>
      </c>
      <c r="C6" s="64"/>
      <c r="D6" s="64"/>
      <c r="E6" s="242"/>
      <c r="F6" s="242"/>
      <c r="G6" s="242"/>
      <c r="H6" s="242"/>
      <c r="I6" s="243"/>
    </row>
    <row r="7" spans="1:9" ht="31.5" x14ac:dyDescent="0.25">
      <c r="A7" s="229">
        <f>A6+1</f>
        <v>2</v>
      </c>
      <c r="B7" s="57" t="s">
        <v>797</v>
      </c>
      <c r="C7" s="79"/>
      <c r="D7" s="79"/>
      <c r="E7" s="242"/>
      <c r="F7" s="242"/>
      <c r="G7" s="242"/>
      <c r="H7" s="242"/>
      <c r="I7" s="242"/>
    </row>
    <row r="8" spans="1:9" ht="78.75" x14ac:dyDescent="0.25">
      <c r="A8" s="229">
        <f t="shared" ref="A8:A12" si="0">A7+1</f>
        <v>3</v>
      </c>
      <c r="B8" s="57" t="s">
        <v>799</v>
      </c>
      <c r="C8" s="79"/>
      <c r="D8" s="79"/>
      <c r="E8" s="242"/>
      <c r="F8" s="242"/>
      <c r="G8" s="242"/>
      <c r="H8" s="242"/>
      <c r="I8" s="242"/>
    </row>
    <row r="9" spans="1:9" ht="15.75" customHeight="1" x14ac:dyDescent="0.25">
      <c r="A9" s="229">
        <f t="shared" si="0"/>
        <v>4</v>
      </c>
      <c r="B9" s="57" t="s">
        <v>793</v>
      </c>
      <c r="C9" s="79"/>
      <c r="D9" s="79"/>
      <c r="E9" s="242"/>
      <c r="F9" s="242"/>
      <c r="G9" s="242"/>
      <c r="H9" s="242"/>
      <c r="I9" s="242"/>
    </row>
    <row r="10" spans="1:9" ht="15.75" customHeight="1" x14ac:dyDescent="0.25">
      <c r="A10" s="229">
        <f t="shared" si="0"/>
        <v>5</v>
      </c>
      <c r="B10" s="57" t="s">
        <v>794</v>
      </c>
      <c r="C10" s="79"/>
      <c r="D10" s="79"/>
      <c r="E10" s="242"/>
      <c r="F10" s="242"/>
      <c r="G10" s="242"/>
      <c r="H10" s="242"/>
      <c r="I10" s="242"/>
    </row>
    <row r="11" spans="1:9" ht="31.5" x14ac:dyDescent="0.25">
      <c r="A11" s="229">
        <f t="shared" si="0"/>
        <v>6</v>
      </c>
      <c r="B11" s="57" t="s">
        <v>798</v>
      </c>
      <c r="C11" s="79"/>
      <c r="D11" s="79"/>
      <c r="E11" s="242"/>
      <c r="F11" s="242"/>
      <c r="G11" s="242"/>
      <c r="H11" s="242"/>
      <c r="I11" s="242"/>
    </row>
    <row r="12" spans="1:9" ht="16.5" thickBot="1" x14ac:dyDescent="0.3">
      <c r="A12" s="229">
        <f t="shared" si="0"/>
        <v>7</v>
      </c>
      <c r="B12" s="57" t="s">
        <v>795</v>
      </c>
      <c r="C12" s="79"/>
      <c r="D12" s="79"/>
      <c r="E12" s="242"/>
      <c r="F12" s="242"/>
      <c r="G12" s="242"/>
      <c r="H12" s="242"/>
      <c r="I12" s="242"/>
    </row>
    <row r="13" spans="1:9" ht="15.75" customHeight="1" thickBot="1" x14ac:dyDescent="0.3">
      <c r="A13" s="472" t="s">
        <v>842</v>
      </c>
      <c r="B13" s="473"/>
      <c r="C13" s="473"/>
      <c r="D13" s="473"/>
      <c r="E13" s="240"/>
      <c r="F13" s="240"/>
      <c r="G13" s="240"/>
      <c r="H13" s="240"/>
      <c r="I13" s="241"/>
    </row>
    <row r="14" spans="1:9" ht="15.75" customHeight="1" x14ac:dyDescent="0.25">
      <c r="A14" s="227">
        <v>1</v>
      </c>
      <c r="B14" s="57" t="s">
        <v>672</v>
      </c>
      <c r="C14" s="64"/>
      <c r="D14" s="64"/>
      <c r="E14" s="243"/>
      <c r="F14" s="243"/>
      <c r="G14" s="243"/>
      <c r="H14" s="243"/>
      <c r="I14" s="243"/>
    </row>
    <row r="15" spans="1:9" ht="15.75" customHeight="1" x14ac:dyDescent="0.25">
      <c r="A15" s="227">
        <v>2</v>
      </c>
      <c r="B15" s="57" t="s">
        <v>673</v>
      </c>
      <c r="C15" s="79">
        <v>29.7</v>
      </c>
      <c r="D15" s="79" t="s">
        <v>787</v>
      </c>
      <c r="E15" s="209"/>
      <c r="F15" s="209"/>
      <c r="G15" s="209"/>
      <c r="H15" s="209"/>
      <c r="I15" s="209"/>
    </row>
    <row r="16" spans="1:9" ht="15.75" customHeight="1" x14ac:dyDescent="0.25">
      <c r="A16" s="227">
        <v>3</v>
      </c>
      <c r="B16" s="57" t="s">
        <v>674</v>
      </c>
      <c r="C16" s="79"/>
      <c r="D16" s="79"/>
      <c r="E16" s="209"/>
      <c r="F16" s="209"/>
      <c r="G16" s="209"/>
      <c r="H16" s="209"/>
      <c r="I16" s="209"/>
    </row>
    <row r="17" spans="1:9" ht="15.75" customHeight="1" x14ac:dyDescent="0.25">
      <c r="A17" s="227">
        <v>4</v>
      </c>
      <c r="B17" s="57" t="s">
        <v>675</v>
      </c>
      <c r="C17" s="79"/>
      <c r="D17" s="79"/>
      <c r="E17" s="209"/>
      <c r="F17" s="209"/>
      <c r="G17" s="209"/>
      <c r="H17" s="209"/>
      <c r="I17" s="209"/>
    </row>
    <row r="18" spans="1:9" ht="15.75" customHeight="1" x14ac:dyDescent="0.25">
      <c r="A18" s="227">
        <v>6</v>
      </c>
      <c r="B18" s="57" t="s">
        <v>676</v>
      </c>
      <c r="C18" s="79" t="s">
        <v>788</v>
      </c>
      <c r="D18" s="79" t="s">
        <v>23</v>
      </c>
      <c r="E18" s="209"/>
      <c r="F18" s="209"/>
      <c r="G18" s="209"/>
      <c r="H18" s="209"/>
      <c r="I18" s="209"/>
    </row>
    <row r="19" spans="1:9" ht="15.75" customHeight="1" x14ac:dyDescent="0.25">
      <c r="A19" s="227">
        <v>7</v>
      </c>
      <c r="B19" s="57" t="s">
        <v>677</v>
      </c>
      <c r="C19" s="79"/>
      <c r="D19" s="79"/>
      <c r="E19" s="209"/>
      <c r="F19" s="209"/>
      <c r="G19" s="209"/>
      <c r="H19" s="209"/>
      <c r="I19" s="209"/>
    </row>
    <row r="20" spans="1:9" ht="15.75" customHeight="1" x14ac:dyDescent="0.25">
      <c r="A20" s="227">
        <v>8</v>
      </c>
      <c r="B20" s="57" t="s">
        <v>678</v>
      </c>
      <c r="C20" s="79"/>
      <c r="D20" s="79"/>
      <c r="E20" s="209"/>
      <c r="F20" s="209"/>
      <c r="G20" s="209"/>
      <c r="H20" s="209"/>
      <c r="I20" s="209"/>
    </row>
    <row r="21" spans="1:9" ht="15.75" customHeight="1" x14ac:dyDescent="0.25">
      <c r="A21" s="227">
        <v>9</v>
      </c>
      <c r="B21" s="57" t="s">
        <v>679</v>
      </c>
      <c r="C21" s="64"/>
      <c r="D21" s="64"/>
      <c r="E21" s="209"/>
      <c r="F21" s="209"/>
      <c r="G21" s="209"/>
      <c r="H21" s="209"/>
      <c r="I21" s="209"/>
    </row>
    <row r="22" spans="1:9" ht="15.75" customHeight="1" x14ac:dyDescent="0.25">
      <c r="A22" s="227">
        <v>10</v>
      </c>
      <c r="B22" s="57" t="s">
        <v>680</v>
      </c>
      <c r="C22" s="79" t="s">
        <v>681</v>
      </c>
      <c r="D22" s="79" t="s">
        <v>682</v>
      </c>
      <c r="E22" s="209"/>
      <c r="F22" s="209"/>
      <c r="G22" s="209"/>
      <c r="H22" s="209"/>
      <c r="I22" s="209"/>
    </row>
    <row r="23" spans="1:9" ht="63" x14ac:dyDescent="0.25">
      <c r="A23" s="227">
        <v>11</v>
      </c>
      <c r="B23" s="57" t="s">
        <v>791</v>
      </c>
      <c r="C23" s="79">
        <v>40</v>
      </c>
      <c r="D23" s="79" t="s">
        <v>24</v>
      </c>
      <c r="E23" s="209"/>
      <c r="F23" s="209"/>
      <c r="G23" s="209"/>
      <c r="H23" s="209"/>
      <c r="I23" s="209"/>
    </row>
    <row r="24" spans="1:9" ht="15.75" x14ac:dyDescent="0.25">
      <c r="A24" s="227">
        <v>12</v>
      </c>
      <c r="B24" s="57" t="s">
        <v>800</v>
      </c>
      <c r="C24" s="79">
        <v>9</v>
      </c>
      <c r="D24" s="79" t="s">
        <v>787</v>
      </c>
      <c r="E24" s="209"/>
      <c r="F24" s="209"/>
      <c r="G24" s="209"/>
      <c r="H24" s="209"/>
      <c r="I24" s="209"/>
    </row>
  </sheetData>
  <mergeCells count="10">
    <mergeCell ref="E1:F1"/>
    <mergeCell ref="G1:I1"/>
    <mergeCell ref="A3:D3"/>
    <mergeCell ref="A4:D4"/>
    <mergeCell ref="A13:D13"/>
    <mergeCell ref="A5:D5"/>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7.2. Tervezési és egyéb feladatok&amp;R&amp;"Times New Roman,Normál"&amp;9Mennyiségi kiírás (IV. kötet)</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Normal="100" zoomScalePageLayoutView="80" workbookViewId="0">
      <selection activeCell="H83" sqref="H83"/>
    </sheetView>
  </sheetViews>
  <sheetFormatPr defaultColWidth="9" defaultRowHeight="15" x14ac:dyDescent="0.25"/>
  <cols>
    <col min="1" max="1" width="6" customWidth="1"/>
    <col min="2" max="2" width="60.7109375" customWidth="1"/>
    <col min="3" max="3" width="10.7109375" customWidth="1"/>
    <col min="4" max="4" width="6.7109375" customWidth="1"/>
    <col min="5" max="8" width="8.7109375" customWidth="1"/>
    <col min="9" max="9" width="10.42578125" customWidth="1"/>
  </cols>
  <sheetData>
    <row r="1" spans="1:11" s="8" customFormat="1" ht="15.75" x14ac:dyDescent="0.25">
      <c r="A1" s="373" t="s">
        <v>265</v>
      </c>
      <c r="B1" s="371" t="s">
        <v>262</v>
      </c>
      <c r="C1" s="371" t="s">
        <v>263</v>
      </c>
      <c r="D1" s="371" t="s">
        <v>264</v>
      </c>
      <c r="E1" s="371" t="s">
        <v>666</v>
      </c>
      <c r="F1" s="371"/>
      <c r="G1" s="371" t="s">
        <v>667</v>
      </c>
      <c r="H1" s="371"/>
      <c r="I1" s="372"/>
    </row>
    <row r="2" spans="1:11" s="8" customFormat="1" ht="16.5" thickBot="1" x14ac:dyDescent="0.3">
      <c r="A2" s="374"/>
      <c r="B2" s="375"/>
      <c r="C2" s="375"/>
      <c r="D2" s="375"/>
      <c r="E2" s="118" t="s">
        <v>668</v>
      </c>
      <c r="F2" s="118" t="s">
        <v>669</v>
      </c>
      <c r="G2" s="118" t="s">
        <v>668</v>
      </c>
      <c r="H2" s="118" t="s">
        <v>669</v>
      </c>
      <c r="I2" s="112" t="s">
        <v>670</v>
      </c>
    </row>
    <row r="3" spans="1:11" ht="15.75" customHeight="1" x14ac:dyDescent="0.25">
      <c r="A3" s="376" t="s">
        <v>0</v>
      </c>
      <c r="B3" s="376"/>
      <c r="C3" s="376"/>
      <c r="D3" s="376"/>
      <c r="E3" s="184"/>
      <c r="F3" s="196"/>
      <c r="G3" s="196"/>
      <c r="H3" s="196"/>
      <c r="I3" s="197"/>
    </row>
    <row r="4" spans="1:11" s="1" customFormat="1" ht="15.75" customHeight="1" x14ac:dyDescent="0.25">
      <c r="A4" s="365" t="s">
        <v>818</v>
      </c>
      <c r="B4" s="365"/>
      <c r="C4" s="365"/>
      <c r="D4" s="365"/>
      <c r="E4" s="152"/>
      <c r="F4" s="153"/>
      <c r="G4" s="153"/>
      <c r="H4" s="153"/>
      <c r="I4" s="154"/>
    </row>
    <row r="5" spans="1:11" s="1" customFormat="1" ht="15.75" customHeight="1" x14ac:dyDescent="0.25">
      <c r="A5" s="365" t="s">
        <v>273</v>
      </c>
      <c r="B5" s="365"/>
      <c r="C5" s="365"/>
      <c r="D5" s="365"/>
      <c r="E5" s="152"/>
      <c r="F5" s="153"/>
      <c r="G5" s="153"/>
      <c r="H5" s="153"/>
      <c r="I5" s="154"/>
    </row>
    <row r="6" spans="1:11" s="8" customFormat="1" ht="16.5" thickBot="1" x14ac:dyDescent="0.3">
      <c r="A6" s="83"/>
      <c r="B6" s="83"/>
      <c r="C6" s="83"/>
      <c r="D6" s="83"/>
      <c r="E6" s="2"/>
      <c r="F6" s="2"/>
      <c r="G6" s="2"/>
      <c r="H6" s="2"/>
      <c r="I6" s="2"/>
    </row>
    <row r="7" spans="1:11" ht="16.5" thickBot="1" x14ac:dyDescent="0.3">
      <c r="A7" s="377" t="s">
        <v>1</v>
      </c>
      <c r="B7" s="378"/>
      <c r="C7" s="378"/>
      <c r="D7" s="379"/>
      <c r="E7" s="137"/>
      <c r="F7" s="138"/>
      <c r="G7" s="138"/>
      <c r="H7" s="138"/>
      <c r="I7" s="226"/>
    </row>
    <row r="8" spans="1:11" s="8" customFormat="1" ht="32.25" customHeight="1" thickBot="1" x14ac:dyDescent="0.3">
      <c r="A8" s="369" t="s">
        <v>327</v>
      </c>
      <c r="B8" s="370"/>
      <c r="C8" s="370"/>
      <c r="D8" s="370"/>
      <c r="E8" s="137"/>
      <c r="F8" s="138"/>
      <c r="G8" s="138"/>
      <c r="H8" s="138"/>
      <c r="I8" s="139"/>
      <c r="J8" s="166"/>
    </row>
    <row r="9" spans="1:11" s="8" customFormat="1" ht="32.25" customHeight="1" thickBot="1" x14ac:dyDescent="0.3">
      <c r="A9" s="381" t="s">
        <v>766</v>
      </c>
      <c r="B9" s="382"/>
      <c r="C9" s="382"/>
      <c r="D9" s="383"/>
      <c r="E9" s="137"/>
      <c r="F9" s="138"/>
      <c r="G9" s="138"/>
      <c r="H9" s="138"/>
      <c r="I9" s="139"/>
      <c r="J9" s="166"/>
    </row>
    <row r="10" spans="1:11" ht="47.25" x14ac:dyDescent="0.25">
      <c r="A10" s="3">
        <v>1</v>
      </c>
      <c r="B10" s="37" t="s">
        <v>326</v>
      </c>
      <c r="C10" s="26">
        <v>16800</v>
      </c>
      <c r="D10" s="14" t="s">
        <v>2</v>
      </c>
      <c r="E10" s="132"/>
      <c r="F10" s="132"/>
      <c r="G10" s="132"/>
      <c r="H10" s="132"/>
      <c r="I10" s="132"/>
    </row>
    <row r="11" spans="1:11" s="8" customFormat="1" ht="63" x14ac:dyDescent="0.25">
      <c r="A11" s="3">
        <f>A10+1</f>
        <v>2</v>
      </c>
      <c r="B11" s="37" t="s">
        <v>640</v>
      </c>
      <c r="C11" s="26">
        <v>3500</v>
      </c>
      <c r="D11" s="14" t="s">
        <v>2</v>
      </c>
      <c r="E11" s="117"/>
      <c r="F11" s="117"/>
      <c r="G11" s="117"/>
      <c r="H11" s="117"/>
      <c r="I11" s="117"/>
    </row>
    <row r="12" spans="1:11" s="8" customFormat="1" ht="31.5" x14ac:dyDescent="0.25">
      <c r="A12" s="5">
        <f>A11+1</f>
        <v>3</v>
      </c>
      <c r="B12" s="57" t="s">
        <v>641</v>
      </c>
      <c r="C12" s="103">
        <v>1900</v>
      </c>
      <c r="D12" s="19" t="s">
        <v>2</v>
      </c>
      <c r="E12" s="117"/>
      <c r="F12" s="117"/>
      <c r="G12" s="117"/>
      <c r="H12" s="117"/>
      <c r="I12" s="117"/>
    </row>
    <row r="13" spans="1:11" s="8" customFormat="1" ht="16.5" thickBot="1" x14ac:dyDescent="0.3">
      <c r="A13" s="101"/>
      <c r="B13" s="91"/>
      <c r="C13" s="92"/>
      <c r="D13" s="100"/>
    </row>
    <row r="14" spans="1:11" ht="16.5" thickBot="1" x14ac:dyDescent="0.3">
      <c r="A14" s="366" t="s">
        <v>3</v>
      </c>
      <c r="B14" s="367"/>
      <c r="C14" s="367"/>
      <c r="D14" s="368"/>
      <c r="E14" s="137"/>
      <c r="F14" s="138"/>
      <c r="G14" s="138"/>
      <c r="H14" s="138"/>
      <c r="I14" s="139"/>
      <c r="J14" s="18"/>
      <c r="K14" s="18"/>
    </row>
    <row r="15" spans="1:11" s="6" customFormat="1" ht="31.5" x14ac:dyDescent="0.25">
      <c r="A15" s="56">
        <v>1</v>
      </c>
      <c r="B15" s="27" t="s">
        <v>99</v>
      </c>
      <c r="C15" s="31">
        <v>185</v>
      </c>
      <c r="D15" s="28" t="s">
        <v>2</v>
      </c>
      <c r="E15" s="117"/>
      <c r="F15" s="186"/>
      <c r="G15" s="187"/>
      <c r="H15" s="188"/>
      <c r="I15" s="187"/>
      <c r="J15" s="18"/>
      <c r="K15" s="18"/>
    </row>
    <row r="16" spans="1:11" ht="31.5" x14ac:dyDescent="0.25">
      <c r="A16" s="11">
        <f>A15+1</f>
        <v>2</v>
      </c>
      <c r="B16" s="27" t="s">
        <v>810</v>
      </c>
      <c r="C16" s="31">
        <v>1900</v>
      </c>
      <c r="D16" s="28" t="s">
        <v>2</v>
      </c>
      <c r="E16" s="117"/>
      <c r="F16" s="117"/>
      <c r="G16" s="187"/>
      <c r="H16" s="188"/>
      <c r="I16" s="179"/>
      <c r="J16" s="18"/>
      <c r="K16" s="18"/>
    </row>
    <row r="17" spans="1:11" s="8" customFormat="1" ht="32.25" customHeight="1" x14ac:dyDescent="0.25">
      <c r="A17" s="11">
        <f t="shared" ref="A17:A45" si="0">A16+1</f>
        <v>3</v>
      </c>
      <c r="B17" s="27" t="s">
        <v>811</v>
      </c>
      <c r="C17" s="31">
        <v>750</v>
      </c>
      <c r="D17" s="28" t="s">
        <v>177</v>
      </c>
      <c r="E17" s="117"/>
      <c r="F17" s="117"/>
      <c r="G17" s="187"/>
      <c r="H17" s="188"/>
      <c r="I17" s="179"/>
      <c r="J17" s="18"/>
      <c r="K17" s="18"/>
    </row>
    <row r="18" spans="1:11" s="7" customFormat="1" ht="31.5" x14ac:dyDescent="0.25">
      <c r="A18" s="11">
        <f t="shared" si="0"/>
        <v>4</v>
      </c>
      <c r="B18" s="27" t="s">
        <v>812</v>
      </c>
      <c r="C18" s="31">
        <v>660</v>
      </c>
      <c r="D18" s="28" t="s">
        <v>2</v>
      </c>
      <c r="E18" s="117"/>
      <c r="F18" s="117"/>
      <c r="G18" s="187"/>
      <c r="H18" s="188"/>
      <c r="I18" s="179"/>
      <c r="J18" s="18"/>
      <c r="K18" s="18"/>
    </row>
    <row r="19" spans="1:11" s="7" customFormat="1" ht="31.5" x14ac:dyDescent="0.25">
      <c r="A19" s="11">
        <f t="shared" si="0"/>
        <v>5</v>
      </c>
      <c r="B19" s="65" t="s">
        <v>93</v>
      </c>
      <c r="C19" s="97">
        <v>3600</v>
      </c>
      <c r="D19" s="98" t="s">
        <v>2</v>
      </c>
      <c r="E19" s="117"/>
      <c r="F19" s="117"/>
      <c r="G19" s="187"/>
      <c r="H19" s="188"/>
      <c r="I19" s="189"/>
      <c r="J19" s="32"/>
      <c r="K19" s="18"/>
    </row>
    <row r="20" spans="1:11" ht="31.5" x14ac:dyDescent="0.25">
      <c r="A20" s="11">
        <f t="shared" si="0"/>
        <v>6</v>
      </c>
      <c r="B20" s="65" t="s">
        <v>94</v>
      </c>
      <c r="C20" s="97">
        <v>8800</v>
      </c>
      <c r="D20" s="98" t="s">
        <v>2</v>
      </c>
      <c r="E20" s="117"/>
      <c r="F20" s="117"/>
      <c r="G20" s="187"/>
      <c r="H20" s="188"/>
      <c r="I20" s="97"/>
      <c r="J20" s="33"/>
      <c r="K20" s="18"/>
    </row>
    <row r="21" spans="1:11" s="7" customFormat="1" ht="78.75" x14ac:dyDescent="0.25">
      <c r="A21" s="11">
        <f t="shared" si="0"/>
        <v>7</v>
      </c>
      <c r="B21" s="29" t="s">
        <v>98</v>
      </c>
      <c r="C21" s="31">
        <v>15400</v>
      </c>
      <c r="D21" s="28" t="s">
        <v>95</v>
      </c>
      <c r="E21" s="117"/>
      <c r="F21" s="117"/>
      <c r="G21" s="187"/>
      <c r="H21" s="188"/>
      <c r="I21" s="190"/>
      <c r="J21" s="34"/>
      <c r="K21" s="18"/>
    </row>
    <row r="22" spans="1:11" s="7" customFormat="1" ht="31.5" x14ac:dyDescent="0.25">
      <c r="A22" s="11">
        <f t="shared" si="0"/>
        <v>8</v>
      </c>
      <c r="B22" s="27" t="s">
        <v>6</v>
      </c>
      <c r="C22" s="31">
        <v>175</v>
      </c>
      <c r="D22" s="28" t="s">
        <v>2</v>
      </c>
      <c r="E22" s="117"/>
      <c r="F22" s="117"/>
      <c r="G22" s="187"/>
      <c r="H22" s="188"/>
      <c r="I22" s="191"/>
      <c r="J22" s="35"/>
      <c r="K22" s="36"/>
    </row>
    <row r="23" spans="1:11" s="7" customFormat="1" ht="94.5" x14ac:dyDescent="0.25">
      <c r="A23" s="11">
        <f t="shared" si="0"/>
        <v>9</v>
      </c>
      <c r="B23" s="27" t="s">
        <v>814</v>
      </c>
      <c r="C23" s="31">
        <v>5500</v>
      </c>
      <c r="D23" s="28" t="s">
        <v>2</v>
      </c>
      <c r="E23" s="117"/>
      <c r="F23" s="117"/>
      <c r="G23" s="187"/>
      <c r="H23" s="188"/>
      <c r="I23" s="179"/>
      <c r="J23" s="18"/>
      <c r="K23" s="18"/>
    </row>
    <row r="24" spans="1:11" s="8" customFormat="1" ht="31.5" x14ac:dyDescent="0.25">
      <c r="A24" s="11">
        <f t="shared" si="0"/>
        <v>10</v>
      </c>
      <c r="B24" s="30" t="s">
        <v>103</v>
      </c>
      <c r="C24" s="31">
        <v>660</v>
      </c>
      <c r="D24" s="28" t="s">
        <v>8</v>
      </c>
      <c r="E24" s="117"/>
      <c r="F24" s="117"/>
      <c r="G24" s="187"/>
      <c r="H24" s="188"/>
      <c r="I24" s="179"/>
      <c r="J24" s="18"/>
      <c r="K24" s="18"/>
    </row>
    <row r="25" spans="1:11" s="7" customFormat="1" ht="63" x14ac:dyDescent="0.25">
      <c r="A25" s="11">
        <f t="shared" si="0"/>
        <v>11</v>
      </c>
      <c r="B25" s="65" t="s">
        <v>660</v>
      </c>
      <c r="C25" s="97">
        <v>840</v>
      </c>
      <c r="D25" s="98" t="s">
        <v>2</v>
      </c>
      <c r="E25" s="117"/>
      <c r="F25" s="117"/>
      <c r="G25" s="192"/>
      <c r="H25" s="193"/>
      <c r="I25" s="179"/>
      <c r="J25" s="18"/>
      <c r="K25" s="18"/>
    </row>
    <row r="26" spans="1:11" s="8" customFormat="1" ht="31.5" x14ac:dyDescent="0.25">
      <c r="A26" s="11">
        <f t="shared" si="0"/>
        <v>12</v>
      </c>
      <c r="B26" s="30" t="s">
        <v>103</v>
      </c>
      <c r="C26" s="31">
        <v>151</v>
      </c>
      <c r="D26" s="28" t="s">
        <v>8</v>
      </c>
      <c r="E26" s="117"/>
      <c r="F26" s="117"/>
      <c r="G26" s="192"/>
      <c r="H26" s="194"/>
      <c r="I26" s="179"/>
      <c r="J26" s="18"/>
      <c r="K26" s="18"/>
    </row>
    <row r="27" spans="1:11" s="8" customFormat="1" ht="63" x14ac:dyDescent="0.25">
      <c r="A27" s="11">
        <f t="shared" si="0"/>
        <v>13</v>
      </c>
      <c r="B27" s="27" t="s">
        <v>813</v>
      </c>
      <c r="C27" s="31">
        <v>1510</v>
      </c>
      <c r="D27" s="28" t="s">
        <v>2</v>
      </c>
      <c r="E27" s="117"/>
      <c r="F27" s="117"/>
      <c r="G27" s="192"/>
      <c r="H27" s="195"/>
      <c r="I27" s="179"/>
      <c r="J27" s="18"/>
      <c r="K27" s="18"/>
    </row>
    <row r="28" spans="1:11" s="8" customFormat="1" ht="31.5" x14ac:dyDescent="0.25">
      <c r="A28" s="11">
        <f t="shared" si="0"/>
        <v>14</v>
      </c>
      <c r="B28" s="105" t="s">
        <v>100</v>
      </c>
      <c r="C28" s="97">
        <v>181</v>
      </c>
      <c r="D28" s="98" t="s">
        <v>8</v>
      </c>
      <c r="E28" s="117"/>
      <c r="F28" s="117"/>
      <c r="G28" s="187"/>
      <c r="H28" s="188"/>
      <c r="I28" s="179"/>
      <c r="J28" s="18"/>
      <c r="K28" s="18"/>
    </row>
    <row r="29" spans="1:11" s="7" customFormat="1" ht="78.75" x14ac:dyDescent="0.25">
      <c r="A29" s="11">
        <f t="shared" si="0"/>
        <v>15</v>
      </c>
      <c r="B29" s="65" t="s">
        <v>348</v>
      </c>
      <c r="C29" s="270">
        <v>6500</v>
      </c>
      <c r="D29" s="98" t="s">
        <v>2</v>
      </c>
      <c r="E29" s="117"/>
      <c r="F29" s="117"/>
      <c r="G29" s="179"/>
      <c r="H29" s="179"/>
      <c r="I29" s="179"/>
      <c r="J29" s="18"/>
      <c r="K29" s="18"/>
    </row>
    <row r="30" spans="1:11" s="8" customFormat="1" ht="94.5" x14ac:dyDescent="0.25">
      <c r="A30" s="11">
        <f t="shared" si="0"/>
        <v>16</v>
      </c>
      <c r="B30" s="30" t="s">
        <v>661</v>
      </c>
      <c r="C30" s="263">
        <v>3600</v>
      </c>
      <c r="D30" s="28" t="s">
        <v>7</v>
      </c>
      <c r="E30" s="117"/>
      <c r="F30" s="117"/>
      <c r="G30" s="179"/>
      <c r="H30" s="179"/>
      <c r="I30" s="179"/>
      <c r="J30" s="18"/>
      <c r="K30" s="18"/>
    </row>
    <row r="31" spans="1:11" s="8" customFormat="1" ht="31.5" x14ac:dyDescent="0.25">
      <c r="A31" s="11">
        <f t="shared" si="0"/>
        <v>17</v>
      </c>
      <c r="B31" s="30" t="s">
        <v>103</v>
      </c>
      <c r="C31" s="263">
        <f>ROUNDUP(C29*0.12,-1)</f>
        <v>780</v>
      </c>
      <c r="D31" s="28" t="s">
        <v>8</v>
      </c>
      <c r="E31" s="117"/>
      <c r="F31" s="117"/>
      <c r="G31" s="117"/>
      <c r="H31" s="117"/>
      <c r="I31" s="117"/>
    </row>
    <row r="32" spans="1:11" s="7" customFormat="1" ht="88.5" customHeight="1" x14ac:dyDescent="0.25">
      <c r="A32" s="11">
        <f t="shared" si="0"/>
        <v>18</v>
      </c>
      <c r="B32" s="27" t="s">
        <v>662</v>
      </c>
      <c r="C32" s="263">
        <v>1910</v>
      </c>
      <c r="D32" s="28" t="s">
        <v>2</v>
      </c>
      <c r="E32" s="117"/>
      <c r="F32" s="117"/>
      <c r="G32" s="117"/>
      <c r="H32" s="117"/>
      <c r="I32" s="117"/>
    </row>
    <row r="33" spans="1:9" s="7" customFormat="1" ht="18.75" x14ac:dyDescent="0.25">
      <c r="A33" s="11">
        <f t="shared" si="0"/>
        <v>19</v>
      </c>
      <c r="B33" s="30" t="s">
        <v>105</v>
      </c>
      <c r="C33" s="263">
        <v>1530</v>
      </c>
      <c r="D33" s="28" t="s">
        <v>7</v>
      </c>
      <c r="E33" s="117"/>
      <c r="F33" s="117"/>
      <c r="G33" s="117"/>
      <c r="H33" s="117"/>
      <c r="I33" s="117"/>
    </row>
    <row r="34" spans="1:9" s="8" customFormat="1" ht="18.75" x14ac:dyDescent="0.25">
      <c r="A34" s="11">
        <f t="shared" si="0"/>
        <v>20</v>
      </c>
      <c r="B34" s="30" t="s">
        <v>108</v>
      </c>
      <c r="C34" s="263">
        <f>11.1*(2*6.94+5.5)</f>
        <v>215.11800000000002</v>
      </c>
      <c r="D34" s="28" t="s">
        <v>7</v>
      </c>
      <c r="E34" s="117"/>
      <c r="F34" s="117"/>
      <c r="G34" s="117"/>
      <c r="H34" s="117"/>
      <c r="I34" s="117"/>
    </row>
    <row r="35" spans="1:9" s="7" customFormat="1" ht="31.5" x14ac:dyDescent="0.25">
      <c r="A35" s="11">
        <f t="shared" si="0"/>
        <v>21</v>
      </c>
      <c r="B35" s="30" t="s">
        <v>103</v>
      </c>
      <c r="C35" s="263">
        <f>C32*0.18</f>
        <v>343.8</v>
      </c>
      <c r="D35" s="28" t="s">
        <v>8</v>
      </c>
      <c r="E35" s="117"/>
      <c r="F35" s="117"/>
      <c r="G35" s="117"/>
      <c r="H35" s="117"/>
      <c r="I35" s="117"/>
    </row>
    <row r="36" spans="1:9" s="8" customFormat="1" ht="31.5" x14ac:dyDescent="0.25">
      <c r="A36" s="11">
        <f t="shared" si="0"/>
        <v>22</v>
      </c>
      <c r="B36" s="27" t="s">
        <v>101</v>
      </c>
      <c r="C36" s="263">
        <v>565</v>
      </c>
      <c r="D36" s="28" t="s">
        <v>2</v>
      </c>
      <c r="E36" s="117"/>
      <c r="F36" s="117"/>
      <c r="G36" s="117"/>
      <c r="H36" s="117"/>
      <c r="I36" s="117"/>
    </row>
    <row r="37" spans="1:9" s="8" customFormat="1" ht="18.75" x14ac:dyDescent="0.25">
      <c r="A37" s="11">
        <f t="shared" si="0"/>
        <v>23</v>
      </c>
      <c r="B37" s="30" t="s">
        <v>106</v>
      </c>
      <c r="C37" s="263">
        <v>1610</v>
      </c>
      <c r="D37" s="28" t="s">
        <v>7</v>
      </c>
      <c r="E37" s="117"/>
      <c r="F37" s="117"/>
      <c r="G37" s="117"/>
      <c r="H37" s="117"/>
      <c r="I37" s="117"/>
    </row>
    <row r="38" spans="1:9" s="8" customFormat="1" ht="31.5" x14ac:dyDescent="0.25">
      <c r="A38" s="11">
        <f t="shared" si="0"/>
        <v>24</v>
      </c>
      <c r="B38" s="30" t="s">
        <v>103</v>
      </c>
      <c r="C38" s="263">
        <f>C36*0.18</f>
        <v>101.7</v>
      </c>
      <c r="D38" s="28" t="s">
        <v>8</v>
      </c>
      <c r="E38" s="117"/>
      <c r="F38" s="117"/>
      <c r="G38" s="117"/>
      <c r="H38" s="117"/>
      <c r="I38" s="117"/>
    </row>
    <row r="39" spans="1:9" s="8" customFormat="1" ht="31.5" x14ac:dyDescent="0.25">
      <c r="A39" s="11">
        <f t="shared" si="0"/>
        <v>25</v>
      </c>
      <c r="B39" s="27" t="s">
        <v>96</v>
      </c>
      <c r="C39" s="108">
        <v>85</v>
      </c>
      <c r="D39" s="28" t="s">
        <v>2</v>
      </c>
      <c r="E39" s="117"/>
      <c r="F39" s="117"/>
      <c r="G39" s="117"/>
      <c r="H39" s="117"/>
      <c r="I39" s="117"/>
    </row>
    <row r="40" spans="1:9" s="8" customFormat="1" ht="31.5" x14ac:dyDescent="0.25">
      <c r="A40" s="11">
        <f t="shared" si="0"/>
        <v>26</v>
      </c>
      <c r="B40" s="105" t="s">
        <v>663</v>
      </c>
      <c r="C40" s="109">
        <v>580</v>
      </c>
      <c r="D40" s="98" t="s">
        <v>7</v>
      </c>
      <c r="E40" s="117"/>
      <c r="F40" s="117"/>
      <c r="G40" s="117"/>
      <c r="H40" s="117"/>
      <c r="I40" s="117"/>
    </row>
    <row r="41" spans="1:9" s="8" customFormat="1" ht="31.5" x14ac:dyDescent="0.25">
      <c r="A41" s="11">
        <f t="shared" si="0"/>
        <v>27</v>
      </c>
      <c r="B41" s="105" t="s">
        <v>103</v>
      </c>
      <c r="C41" s="109">
        <f>C39*0.18</f>
        <v>15.299999999999999</v>
      </c>
      <c r="D41" s="98" t="s">
        <v>8</v>
      </c>
      <c r="E41" s="117"/>
      <c r="F41" s="117"/>
      <c r="G41" s="117"/>
      <c r="H41" s="117"/>
      <c r="I41" s="117"/>
    </row>
    <row r="42" spans="1:9" s="8" customFormat="1" ht="31.5" x14ac:dyDescent="0.25">
      <c r="A42" s="11">
        <f t="shared" si="0"/>
        <v>28</v>
      </c>
      <c r="B42" s="27" t="s">
        <v>97</v>
      </c>
      <c r="C42" s="10">
        <v>1.5</v>
      </c>
      <c r="D42" s="28" t="s">
        <v>2</v>
      </c>
      <c r="E42" s="117"/>
      <c r="F42" s="117"/>
      <c r="G42" s="117"/>
      <c r="H42" s="117"/>
      <c r="I42" s="117"/>
    </row>
    <row r="43" spans="1:9" s="8" customFormat="1" ht="18.75" x14ac:dyDescent="0.25">
      <c r="A43" s="11">
        <f t="shared" si="0"/>
        <v>29</v>
      </c>
      <c r="B43" s="30" t="s">
        <v>476</v>
      </c>
      <c r="C43" s="10">
        <v>5</v>
      </c>
      <c r="D43" s="28" t="s">
        <v>7</v>
      </c>
      <c r="E43" s="117"/>
      <c r="F43" s="117"/>
      <c r="G43" s="117"/>
      <c r="H43" s="117"/>
      <c r="I43" s="117"/>
    </row>
    <row r="44" spans="1:9" s="8" customFormat="1" ht="31.5" x14ac:dyDescent="0.25">
      <c r="A44" s="11">
        <f t="shared" si="0"/>
        <v>30</v>
      </c>
      <c r="B44" s="30" t="s">
        <v>103</v>
      </c>
      <c r="C44" s="10">
        <v>0.3</v>
      </c>
      <c r="D44" s="28" t="s">
        <v>8</v>
      </c>
      <c r="E44" s="117"/>
      <c r="F44" s="117"/>
      <c r="G44" s="117"/>
      <c r="H44" s="117"/>
      <c r="I44" s="117"/>
    </row>
    <row r="45" spans="1:9" s="8" customFormat="1" ht="47.25" x14ac:dyDescent="0.25">
      <c r="A45" s="11">
        <f t="shared" si="0"/>
        <v>31</v>
      </c>
      <c r="B45" s="105" t="s">
        <v>642</v>
      </c>
      <c r="C45" s="109">
        <v>475</v>
      </c>
      <c r="D45" s="98" t="s">
        <v>7</v>
      </c>
      <c r="E45" s="117"/>
      <c r="F45" s="117"/>
      <c r="G45" s="117"/>
      <c r="H45" s="117"/>
      <c r="I45" s="117"/>
    </row>
    <row r="46" spans="1:9" s="8" customFormat="1" ht="16.5" thickBot="1" x14ac:dyDescent="0.3">
      <c r="A46" s="12"/>
      <c r="B46" s="104"/>
      <c r="C46" s="13"/>
      <c r="D46" s="17"/>
    </row>
    <row r="47" spans="1:9" ht="16.5" thickBot="1" x14ac:dyDescent="0.3">
      <c r="A47" s="377" t="s">
        <v>4</v>
      </c>
      <c r="B47" s="378"/>
      <c r="C47" s="378"/>
      <c r="D47" s="379"/>
      <c r="E47" s="137"/>
      <c r="F47" s="138"/>
      <c r="G47" s="138"/>
      <c r="H47" s="138"/>
      <c r="I47" s="139"/>
    </row>
    <row r="48" spans="1:9" ht="18.75" x14ac:dyDescent="0.25">
      <c r="A48" s="5">
        <v>1</v>
      </c>
      <c r="B48" s="4" t="s">
        <v>5</v>
      </c>
      <c r="C48" s="108">
        <v>360</v>
      </c>
      <c r="D48" s="14" t="s">
        <v>2</v>
      </c>
      <c r="E48" s="117"/>
      <c r="F48" s="117"/>
      <c r="G48" s="117"/>
      <c r="H48" s="117"/>
      <c r="I48" s="117"/>
    </row>
    <row r="49" spans="1:9" ht="47.25" x14ac:dyDescent="0.25">
      <c r="A49" s="5">
        <f>A48+1</f>
        <v>2</v>
      </c>
      <c r="B49" s="4" t="s">
        <v>102</v>
      </c>
      <c r="C49" s="108">
        <v>820</v>
      </c>
      <c r="D49" s="14" t="s">
        <v>2</v>
      </c>
      <c r="E49" s="117"/>
      <c r="F49" s="117"/>
      <c r="G49" s="117"/>
      <c r="H49" s="117"/>
      <c r="I49" s="117"/>
    </row>
    <row r="50" spans="1:9" s="8" customFormat="1" ht="16.5" thickBot="1" x14ac:dyDescent="0.3">
      <c r="A50" s="101"/>
      <c r="B50" s="77"/>
      <c r="C50" s="102"/>
      <c r="D50" s="100"/>
    </row>
    <row r="51" spans="1:9" ht="16.5" thickBot="1" x14ac:dyDescent="0.3">
      <c r="A51" s="377" t="s">
        <v>150</v>
      </c>
      <c r="B51" s="378"/>
      <c r="C51" s="378"/>
      <c r="D51" s="379"/>
      <c r="E51" s="137"/>
      <c r="F51" s="138"/>
      <c r="G51" s="138"/>
      <c r="H51" s="138"/>
      <c r="I51" s="139"/>
    </row>
    <row r="52" spans="1:9" ht="47.25" x14ac:dyDescent="0.25">
      <c r="A52" s="3">
        <v>1</v>
      </c>
      <c r="B52" s="53" t="s">
        <v>151</v>
      </c>
      <c r="C52" s="47">
        <v>2</v>
      </c>
      <c r="D52" s="14" t="s">
        <v>24</v>
      </c>
      <c r="E52" s="117"/>
      <c r="F52" s="117"/>
      <c r="G52" s="117"/>
      <c r="H52" s="117"/>
      <c r="I52" s="117"/>
    </row>
    <row r="53" spans="1:9" ht="47.25" x14ac:dyDescent="0.25">
      <c r="A53" s="11">
        <f t="shared" ref="A53:A58" si="1">A52+1</f>
        <v>2</v>
      </c>
      <c r="B53" s="49" t="s">
        <v>152</v>
      </c>
      <c r="C53" s="50">
        <v>2</v>
      </c>
      <c r="D53" s="19" t="s">
        <v>24</v>
      </c>
      <c r="E53" s="117"/>
      <c r="F53" s="117"/>
      <c r="G53" s="117"/>
      <c r="H53" s="117"/>
      <c r="I53" s="117"/>
    </row>
    <row r="54" spans="1:9" ht="47.25" x14ac:dyDescent="0.25">
      <c r="A54" s="11">
        <f t="shared" si="1"/>
        <v>3</v>
      </c>
      <c r="B54" s="49" t="s">
        <v>153</v>
      </c>
      <c r="C54" s="50">
        <v>1</v>
      </c>
      <c r="D54" s="19" t="s">
        <v>24</v>
      </c>
      <c r="E54" s="117"/>
      <c r="F54" s="117"/>
      <c r="G54" s="117"/>
      <c r="H54" s="117"/>
      <c r="I54" s="117"/>
    </row>
    <row r="55" spans="1:9" ht="47.25" x14ac:dyDescent="0.25">
      <c r="A55" s="11">
        <f t="shared" si="1"/>
        <v>4</v>
      </c>
      <c r="B55" s="49" t="s">
        <v>154</v>
      </c>
      <c r="C55" s="51">
        <v>4.4000000000000004</v>
      </c>
      <c r="D55" s="19" t="s">
        <v>8</v>
      </c>
      <c r="E55" s="185"/>
      <c r="F55" s="117"/>
      <c r="G55" s="117"/>
      <c r="H55" s="117"/>
      <c r="I55" s="117"/>
    </row>
    <row r="56" spans="1:9" ht="31.5" x14ac:dyDescent="0.25">
      <c r="A56" s="11">
        <f t="shared" si="1"/>
        <v>5</v>
      </c>
      <c r="B56" s="49" t="s">
        <v>155</v>
      </c>
      <c r="C56" s="51">
        <v>0.26</v>
      </c>
      <c r="D56" s="23" t="s">
        <v>8</v>
      </c>
      <c r="E56" s="117"/>
      <c r="F56" s="117"/>
      <c r="G56" s="117"/>
      <c r="H56" s="117"/>
      <c r="I56" s="117"/>
    </row>
    <row r="57" spans="1:9" ht="31.5" x14ac:dyDescent="0.25">
      <c r="A57" s="11">
        <f t="shared" si="1"/>
        <v>6</v>
      </c>
      <c r="B57" s="52" t="s">
        <v>156</v>
      </c>
      <c r="C57" s="50">
        <v>1.4</v>
      </c>
      <c r="D57" s="23" t="s">
        <v>8</v>
      </c>
      <c r="E57" s="117"/>
      <c r="F57" s="117"/>
      <c r="G57" s="117"/>
      <c r="H57" s="117"/>
      <c r="I57" s="117"/>
    </row>
    <row r="58" spans="1:9" ht="63" x14ac:dyDescent="0.25">
      <c r="A58" s="11">
        <f t="shared" si="1"/>
        <v>7</v>
      </c>
      <c r="B58" s="49" t="s">
        <v>158</v>
      </c>
      <c r="C58" s="50">
        <v>1</v>
      </c>
      <c r="D58" s="19" t="s">
        <v>24</v>
      </c>
      <c r="E58" s="117"/>
      <c r="F58" s="117"/>
      <c r="G58" s="117"/>
      <c r="H58" s="117"/>
      <c r="I58" s="117"/>
    </row>
    <row r="59" spans="1:9" s="8" customFormat="1" ht="16.5" thickBot="1" x14ac:dyDescent="0.3">
      <c r="A59" s="12"/>
      <c r="B59" s="77"/>
      <c r="C59" s="9"/>
      <c r="D59" s="100"/>
    </row>
    <row r="60" spans="1:9" ht="16.5" thickBot="1" x14ac:dyDescent="0.3">
      <c r="A60" s="380" t="s">
        <v>801</v>
      </c>
      <c r="B60" s="378"/>
      <c r="C60" s="378"/>
      <c r="D60" s="379"/>
      <c r="E60" s="137"/>
      <c r="F60" s="138"/>
      <c r="G60" s="138"/>
      <c r="H60" s="138"/>
      <c r="I60" s="139"/>
    </row>
    <row r="61" spans="1:9" ht="18.75" x14ac:dyDescent="0.25">
      <c r="A61" s="3">
        <v>1</v>
      </c>
      <c r="B61" s="4" t="s">
        <v>173</v>
      </c>
      <c r="C61" s="50">
        <v>58</v>
      </c>
      <c r="D61" s="19" t="s">
        <v>2</v>
      </c>
      <c r="E61" s="117"/>
      <c r="F61" s="117"/>
      <c r="G61" s="117"/>
      <c r="H61" s="117"/>
      <c r="I61" s="117"/>
    </row>
    <row r="62" spans="1:9" ht="78.75" x14ac:dyDescent="0.25">
      <c r="A62" s="38">
        <f>A61+1</f>
        <v>2</v>
      </c>
      <c r="B62" s="20" t="s">
        <v>272</v>
      </c>
      <c r="C62" s="39">
        <v>5</v>
      </c>
      <c r="D62" s="39" t="s">
        <v>8</v>
      </c>
      <c r="E62" s="117"/>
      <c r="F62" s="117"/>
      <c r="G62" s="117"/>
      <c r="H62" s="117"/>
      <c r="I62" s="117"/>
    </row>
    <row r="63" spans="1:9" s="8" customFormat="1" ht="16.5" thickBot="1" x14ac:dyDescent="0.3">
      <c r="A63" s="107"/>
      <c r="B63" s="106"/>
      <c r="C63" s="24"/>
      <c r="D63" s="24"/>
    </row>
    <row r="64" spans="1:9" ht="16.5" thickBot="1" x14ac:dyDescent="0.3">
      <c r="A64" s="377" t="s">
        <v>350</v>
      </c>
      <c r="B64" s="378"/>
      <c r="C64" s="378"/>
      <c r="D64" s="379"/>
      <c r="E64" s="137"/>
      <c r="F64" s="138"/>
      <c r="G64" s="138"/>
      <c r="H64" s="138"/>
      <c r="I64" s="139"/>
    </row>
    <row r="65" spans="1:9" ht="78.75" x14ac:dyDescent="0.25">
      <c r="A65" s="3">
        <v>1</v>
      </c>
      <c r="B65" s="4" t="s">
        <v>356</v>
      </c>
      <c r="C65" s="108">
        <v>3.2</v>
      </c>
      <c r="D65" s="14" t="s">
        <v>8</v>
      </c>
      <c r="E65" s="132"/>
      <c r="F65" s="132"/>
      <c r="G65" s="132"/>
      <c r="H65" s="132"/>
      <c r="I65" s="132"/>
    </row>
    <row r="66" spans="1:9" ht="47.25" x14ac:dyDescent="0.25">
      <c r="A66" s="11">
        <f>A65+1</f>
        <v>2</v>
      </c>
      <c r="B66" s="49" t="s">
        <v>354</v>
      </c>
      <c r="C66" s="58">
        <v>3</v>
      </c>
      <c r="D66" s="19" t="s">
        <v>24</v>
      </c>
      <c r="E66" s="117"/>
      <c r="F66" s="117"/>
      <c r="G66" s="117"/>
      <c r="H66" s="117"/>
      <c r="I66" s="117"/>
    </row>
    <row r="67" spans="1:9" ht="31.5" x14ac:dyDescent="0.25">
      <c r="A67" s="11">
        <f t="shared" ref="A67" si="2">A66+1</f>
        <v>3</v>
      </c>
      <c r="B67" s="52" t="s">
        <v>355</v>
      </c>
      <c r="C67" s="58">
        <v>4</v>
      </c>
      <c r="D67" s="19" t="s">
        <v>24</v>
      </c>
      <c r="E67" s="117"/>
      <c r="F67" s="117"/>
      <c r="G67" s="117"/>
      <c r="H67" s="117"/>
      <c r="I67" s="117"/>
    </row>
    <row r="68" spans="1:9" ht="15.75" x14ac:dyDescent="0.25">
      <c r="B68" s="48"/>
      <c r="C68" s="9"/>
      <c r="D68" s="9"/>
    </row>
    <row r="69" spans="1:9" ht="15.75" x14ac:dyDescent="0.25">
      <c r="B69" s="48"/>
      <c r="C69" s="9"/>
      <c r="D69" s="9"/>
    </row>
    <row r="70" spans="1:9" ht="15.75" x14ac:dyDescent="0.25">
      <c r="B70" s="48"/>
    </row>
    <row r="71" spans="1:9" ht="15.75" x14ac:dyDescent="0.25">
      <c r="B71" s="48"/>
    </row>
    <row r="72" spans="1:9" ht="15.75" x14ac:dyDescent="0.25">
      <c r="B72" s="48"/>
    </row>
    <row r="73" spans="1:9" ht="15.75" x14ac:dyDescent="0.25">
      <c r="B73" s="48"/>
    </row>
    <row r="74" spans="1:9" ht="15.75" x14ac:dyDescent="0.25">
      <c r="B74" s="48"/>
    </row>
    <row r="75" spans="1:9" ht="15.75" x14ac:dyDescent="0.25">
      <c r="B75" s="48"/>
    </row>
    <row r="76" spans="1:9" ht="15.75" x14ac:dyDescent="0.25">
      <c r="B76" s="48"/>
    </row>
    <row r="77" spans="1:9" ht="15.75" x14ac:dyDescent="0.25">
      <c r="B77" s="48"/>
    </row>
    <row r="78" spans="1:9" ht="15.75" x14ac:dyDescent="0.25">
      <c r="B78" s="48"/>
    </row>
    <row r="79" spans="1:9" ht="15.75" x14ac:dyDescent="0.25">
      <c r="B79" s="48"/>
    </row>
    <row r="80" spans="1:9" ht="15.75" x14ac:dyDescent="0.25">
      <c r="B80" s="48"/>
    </row>
    <row r="81" spans="2:2" ht="15.75" x14ac:dyDescent="0.25">
      <c r="B81" s="48"/>
    </row>
    <row r="82" spans="2:2" ht="15.75" x14ac:dyDescent="0.25">
      <c r="B82" s="48"/>
    </row>
    <row r="83" spans="2:2" ht="15.75" x14ac:dyDescent="0.25">
      <c r="B83" s="48"/>
    </row>
    <row r="84" spans="2:2" ht="15.75" x14ac:dyDescent="0.25">
      <c r="B84" s="48"/>
    </row>
    <row r="85" spans="2:2" ht="15.75" x14ac:dyDescent="0.25">
      <c r="B85" s="48"/>
    </row>
    <row r="86" spans="2:2" ht="15.75" x14ac:dyDescent="0.25">
      <c r="B86" s="48"/>
    </row>
    <row r="87" spans="2:2" ht="15.75" x14ac:dyDescent="0.25">
      <c r="B87" s="48"/>
    </row>
  </sheetData>
  <mergeCells count="17">
    <mergeCell ref="A64:D64"/>
    <mergeCell ref="A60:D60"/>
    <mergeCell ref="A7:D7"/>
    <mergeCell ref="A47:D47"/>
    <mergeCell ref="A51:D51"/>
    <mergeCell ref="A9:D9"/>
    <mergeCell ref="A5:D5"/>
    <mergeCell ref="A14:D14"/>
    <mergeCell ref="A8:D8"/>
    <mergeCell ref="E1:F1"/>
    <mergeCell ref="G1:I1"/>
    <mergeCell ref="A1:A2"/>
    <mergeCell ref="B1:B2"/>
    <mergeCell ref="C1:C2"/>
    <mergeCell ref="D1:D2"/>
    <mergeCell ref="A3:D3"/>
    <mergeCell ref="A4:D4"/>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1.1.1. Építészet-szerkezet&amp;R&amp;"Times New Roman,Normál"&amp;9Mennyiségi kiírás (IV. kötet)</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85" zoomScaleNormal="85" workbookViewId="0">
      <selection activeCell="B35" sqref="B35"/>
    </sheetView>
  </sheetViews>
  <sheetFormatPr defaultColWidth="9.140625" defaultRowHeight="15" x14ac:dyDescent="0.25"/>
  <cols>
    <col min="1" max="1" width="87.85546875" style="201" customWidth="1"/>
    <col min="2" max="2" width="10.140625" style="201" bestFit="1" customWidth="1"/>
    <col min="3" max="16384" width="9.140625" style="201"/>
  </cols>
  <sheetData>
    <row r="1" spans="1:5" ht="16.5" thickBot="1" x14ac:dyDescent="0.3">
      <c r="A1" s="355" t="s">
        <v>748</v>
      </c>
      <c r="B1" s="356"/>
      <c r="C1" s="356"/>
      <c r="D1" s="356"/>
      <c r="E1" s="356"/>
    </row>
    <row r="2" spans="1:5" ht="37.5" x14ac:dyDescent="0.25">
      <c r="A2" s="357" t="s">
        <v>651</v>
      </c>
      <c r="B2" s="358"/>
      <c r="C2" s="358"/>
      <c r="D2" s="358"/>
      <c r="E2" s="358"/>
    </row>
    <row r="3" spans="1:5" ht="15.75" x14ac:dyDescent="0.25">
      <c r="A3" s="359" t="s">
        <v>652</v>
      </c>
    </row>
    <row r="4" spans="1:5" ht="31.5" x14ac:dyDescent="0.25">
      <c r="A4" s="359" t="s">
        <v>653</v>
      </c>
    </row>
    <row r="5" spans="1:5" ht="31.5" x14ac:dyDescent="0.25">
      <c r="A5" s="359" t="s">
        <v>654</v>
      </c>
    </row>
    <row r="6" spans="1:5" ht="94.5" x14ac:dyDescent="0.25">
      <c r="A6" s="359" t="s">
        <v>665</v>
      </c>
    </row>
    <row r="7" spans="1:5" ht="31.5" x14ac:dyDescent="0.25">
      <c r="A7" s="359" t="s">
        <v>664</v>
      </c>
    </row>
    <row r="8" spans="1:5" ht="63" x14ac:dyDescent="0.25">
      <c r="A8" s="359" t="s">
        <v>655</v>
      </c>
    </row>
    <row r="9" spans="1:5" ht="31.5" x14ac:dyDescent="0.25">
      <c r="A9" s="359" t="s">
        <v>782</v>
      </c>
    </row>
    <row r="10" spans="1:5" ht="31.5" x14ac:dyDescent="0.25">
      <c r="A10" s="360" t="s">
        <v>656</v>
      </c>
    </row>
    <row r="11" spans="1:5" ht="47.25" x14ac:dyDescent="0.25">
      <c r="A11" s="361" t="s">
        <v>986</v>
      </c>
    </row>
  </sheetData>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8. Megjegyzések, figyelemfelhívások&amp;R&amp;"Times New Roman,Normál"&amp;9Mennyiségi kiírás (IV. kötet)</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PageLayoutView="75" workbookViewId="0">
      <selection activeCell="B53" sqref="B53"/>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 style="8"/>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5.75" x14ac:dyDescent="0.25">
      <c r="A3" s="376" t="s">
        <v>0</v>
      </c>
      <c r="B3" s="376"/>
      <c r="C3" s="376"/>
      <c r="D3" s="389"/>
      <c r="E3" s="160"/>
      <c r="F3" s="161"/>
      <c r="G3" s="161"/>
      <c r="H3" s="161"/>
      <c r="I3" s="162"/>
    </row>
    <row r="4" spans="1:10" ht="16.5" thickBot="1" x14ac:dyDescent="0.3">
      <c r="A4" s="390" t="s">
        <v>819</v>
      </c>
      <c r="B4" s="390"/>
      <c r="C4" s="390"/>
      <c r="D4" s="391"/>
      <c r="E4" s="163"/>
      <c r="F4" s="164"/>
      <c r="G4" s="164"/>
      <c r="H4" s="164"/>
      <c r="I4" s="165"/>
    </row>
    <row r="5" spans="1:10" ht="16.5" thickBot="1" x14ac:dyDescent="0.3">
      <c r="A5" s="392" t="s">
        <v>9</v>
      </c>
      <c r="B5" s="393"/>
      <c r="C5" s="393"/>
      <c r="D5" s="394"/>
      <c r="E5" s="137"/>
      <c r="F5" s="138"/>
      <c r="G5" s="138"/>
      <c r="H5" s="138"/>
      <c r="I5" s="139"/>
    </row>
    <row r="6" spans="1:10" ht="16.5" thickBot="1" x14ac:dyDescent="0.3">
      <c r="A6" s="392" t="s">
        <v>10</v>
      </c>
      <c r="B6" s="393"/>
      <c r="C6" s="393"/>
      <c r="D6" s="394"/>
      <c r="E6" s="137"/>
      <c r="F6" s="138"/>
      <c r="G6" s="138"/>
      <c r="H6" s="138"/>
      <c r="I6" s="139"/>
    </row>
    <row r="7" spans="1:10" ht="31.5" x14ac:dyDescent="0.25">
      <c r="A7" s="3">
        <f>1</f>
        <v>1</v>
      </c>
      <c r="B7" s="37" t="s">
        <v>19</v>
      </c>
      <c r="C7" s="26">
        <v>6000</v>
      </c>
      <c r="D7" s="127" t="s">
        <v>11</v>
      </c>
      <c r="E7" s="117"/>
      <c r="F7" s="117"/>
      <c r="G7" s="117"/>
      <c r="H7" s="117"/>
      <c r="I7" s="117"/>
      <c r="J7" s="166"/>
    </row>
    <row r="8" spans="1:10" ht="31.5" x14ac:dyDescent="0.25">
      <c r="A8" s="3">
        <f>A7+1</f>
        <v>2</v>
      </c>
      <c r="B8" s="37" t="s">
        <v>16</v>
      </c>
      <c r="C8" s="26">
        <v>1000</v>
      </c>
      <c r="D8" s="14" t="s">
        <v>11</v>
      </c>
      <c r="E8" s="117"/>
      <c r="F8" s="117"/>
      <c r="G8" s="117"/>
      <c r="H8" s="117"/>
      <c r="I8" s="117"/>
    </row>
    <row r="9" spans="1:10" ht="31.5" x14ac:dyDescent="0.25">
      <c r="A9" s="3">
        <f t="shared" ref="A9:A16" si="0">A8+1</f>
        <v>3</v>
      </c>
      <c r="B9" s="37" t="s">
        <v>17</v>
      </c>
      <c r="C9" s="26">
        <v>1100</v>
      </c>
      <c r="D9" s="14" t="s">
        <v>11</v>
      </c>
      <c r="E9" s="117"/>
      <c r="F9" s="117"/>
      <c r="G9" s="117"/>
      <c r="H9" s="117"/>
      <c r="I9" s="117"/>
    </row>
    <row r="10" spans="1:10" ht="72.75" customHeight="1" x14ac:dyDescent="0.25">
      <c r="A10" s="3">
        <f t="shared" si="0"/>
        <v>4</v>
      </c>
      <c r="B10" s="37" t="s">
        <v>36</v>
      </c>
      <c r="C10" s="26">
        <v>21800</v>
      </c>
      <c r="D10" s="14" t="s">
        <v>11</v>
      </c>
      <c r="E10" s="117"/>
      <c r="F10" s="117"/>
      <c r="G10" s="117"/>
      <c r="H10" s="117"/>
      <c r="I10" s="117"/>
    </row>
    <row r="11" spans="1:10" ht="63" x14ac:dyDescent="0.25">
      <c r="A11" s="3">
        <f t="shared" si="0"/>
        <v>5</v>
      </c>
      <c r="B11" s="37" t="s">
        <v>18</v>
      </c>
      <c r="C11" s="26">
        <v>3700</v>
      </c>
      <c r="D11" s="14" t="s">
        <v>11</v>
      </c>
      <c r="E11" s="117"/>
      <c r="F11" s="117"/>
      <c r="G11" s="117"/>
      <c r="H11" s="117"/>
      <c r="I11" s="117"/>
    </row>
    <row r="12" spans="1:10" ht="63" x14ac:dyDescent="0.25">
      <c r="A12" s="3">
        <f t="shared" si="0"/>
        <v>6</v>
      </c>
      <c r="B12" s="37" t="s">
        <v>20</v>
      </c>
      <c r="C12" s="26">
        <v>4040</v>
      </c>
      <c r="D12" s="14" t="s">
        <v>11</v>
      </c>
      <c r="E12" s="117"/>
      <c r="F12" s="117"/>
      <c r="G12" s="117"/>
      <c r="H12" s="117"/>
      <c r="I12" s="117"/>
    </row>
    <row r="13" spans="1:10" ht="78.75" x14ac:dyDescent="0.25">
      <c r="A13" s="3">
        <f t="shared" si="0"/>
        <v>7</v>
      </c>
      <c r="B13" s="67" t="s">
        <v>21</v>
      </c>
      <c r="C13" s="103">
        <f>37*5800</f>
        <v>214600</v>
      </c>
      <c r="D13" s="19" t="s">
        <v>11</v>
      </c>
      <c r="E13" s="117"/>
      <c r="F13" s="117"/>
      <c r="G13" s="117"/>
      <c r="H13" s="117"/>
      <c r="I13" s="117"/>
    </row>
    <row r="14" spans="1:10" ht="63" x14ac:dyDescent="0.25">
      <c r="A14" s="3">
        <f t="shared" si="0"/>
        <v>8</v>
      </c>
      <c r="B14" s="57" t="s">
        <v>866</v>
      </c>
      <c r="C14" s="103">
        <v>1800</v>
      </c>
      <c r="D14" s="19" t="s">
        <v>11</v>
      </c>
      <c r="E14" s="117"/>
      <c r="F14" s="117"/>
      <c r="G14" s="117"/>
      <c r="H14" s="117"/>
      <c r="I14" s="117"/>
    </row>
    <row r="15" spans="1:10" ht="15.75" x14ac:dyDescent="0.25">
      <c r="A15" s="5">
        <f t="shared" si="0"/>
        <v>9</v>
      </c>
      <c r="B15" s="57" t="s">
        <v>12</v>
      </c>
      <c r="C15" s="103">
        <v>8</v>
      </c>
      <c r="D15" s="19" t="s">
        <v>298</v>
      </c>
      <c r="E15" s="117"/>
      <c r="F15" s="117"/>
      <c r="G15" s="117"/>
      <c r="H15" s="117"/>
      <c r="I15" s="117"/>
    </row>
    <row r="16" spans="1:10" ht="48" thickBot="1" x14ac:dyDescent="0.3">
      <c r="A16" s="220">
        <f t="shared" si="0"/>
        <v>10</v>
      </c>
      <c r="B16" s="234" t="s">
        <v>22</v>
      </c>
      <c r="C16" s="235">
        <v>4810</v>
      </c>
      <c r="D16" s="236" t="s">
        <v>11</v>
      </c>
      <c r="E16" s="233"/>
      <c r="F16" s="233"/>
      <c r="G16" s="233"/>
      <c r="H16" s="233"/>
      <c r="I16" s="233"/>
    </row>
    <row r="17" spans="1:9" ht="16.5" thickBot="1" x14ac:dyDescent="0.3">
      <c r="A17" s="397" t="s">
        <v>14</v>
      </c>
      <c r="B17" s="398"/>
      <c r="C17" s="82">
        <f>SUM(C7+C8+C9+C10+C11+C12+C13+C14+C16)</f>
        <v>258850</v>
      </c>
      <c r="D17" s="25" t="s">
        <v>11</v>
      </c>
      <c r="E17" s="137"/>
      <c r="F17" s="138"/>
      <c r="G17" s="138"/>
      <c r="H17" s="138"/>
      <c r="I17" s="139"/>
    </row>
    <row r="18" spans="1:9" ht="16.5" thickBot="1" x14ac:dyDescent="0.3">
      <c r="A18" s="85"/>
      <c r="B18" s="85"/>
      <c r="C18" s="85"/>
      <c r="D18" s="96"/>
    </row>
    <row r="19" spans="1:9" ht="16.5" thickBot="1" x14ac:dyDescent="0.3">
      <c r="A19" s="386" t="s">
        <v>35</v>
      </c>
      <c r="B19" s="395"/>
      <c r="C19" s="395"/>
      <c r="D19" s="396"/>
      <c r="E19" s="137"/>
      <c r="F19" s="138"/>
      <c r="G19" s="138"/>
      <c r="H19" s="138"/>
      <c r="I19" s="139"/>
    </row>
    <row r="20" spans="1:9" ht="63" x14ac:dyDescent="0.25">
      <c r="A20" s="5">
        <v>1</v>
      </c>
      <c r="B20" s="21" t="s">
        <v>26</v>
      </c>
      <c r="C20" s="23">
        <v>3000</v>
      </c>
      <c r="D20" s="19" t="s">
        <v>11</v>
      </c>
      <c r="E20" s="117"/>
      <c r="F20" s="117"/>
      <c r="G20" s="117"/>
      <c r="H20" s="117"/>
      <c r="I20" s="117"/>
    </row>
    <row r="21" spans="1:9" ht="150" customHeight="1" x14ac:dyDescent="0.25">
      <c r="A21" s="5">
        <f t="shared" ref="A21:A31" si="1">A20+1</f>
        <v>2</v>
      </c>
      <c r="B21" s="21" t="s">
        <v>27</v>
      </c>
      <c r="C21" s="23">
        <v>5800</v>
      </c>
      <c r="D21" s="19" t="s">
        <v>11</v>
      </c>
      <c r="E21" s="117"/>
      <c r="F21" s="117"/>
      <c r="G21" s="117"/>
      <c r="H21" s="117"/>
      <c r="I21" s="117"/>
    </row>
    <row r="22" spans="1:9" ht="80.25" customHeight="1" x14ac:dyDescent="0.25">
      <c r="A22" s="5">
        <f t="shared" si="1"/>
        <v>3</v>
      </c>
      <c r="B22" s="21" t="s">
        <v>28</v>
      </c>
      <c r="C22" s="23">
        <v>2450</v>
      </c>
      <c r="D22" s="19" t="s">
        <v>11</v>
      </c>
      <c r="E22" s="117"/>
      <c r="F22" s="117"/>
      <c r="G22" s="117"/>
      <c r="H22" s="117"/>
      <c r="I22" s="117"/>
    </row>
    <row r="23" spans="1:9" ht="204.75" x14ac:dyDescent="0.25">
      <c r="A23" s="5">
        <f t="shared" si="1"/>
        <v>4</v>
      </c>
      <c r="B23" s="21" t="s">
        <v>31</v>
      </c>
      <c r="C23" s="23">
        <v>174000</v>
      </c>
      <c r="D23" s="19" t="s">
        <v>11</v>
      </c>
      <c r="E23" s="117"/>
      <c r="F23" s="117"/>
      <c r="G23" s="117"/>
      <c r="H23" s="117"/>
      <c r="I23" s="117"/>
    </row>
    <row r="24" spans="1:9" ht="63" x14ac:dyDescent="0.25">
      <c r="A24" s="5">
        <f t="shared" si="1"/>
        <v>5</v>
      </c>
      <c r="B24" s="21" t="s">
        <v>29</v>
      </c>
      <c r="C24" s="23">
        <v>144</v>
      </c>
      <c r="D24" s="19" t="s">
        <v>23</v>
      </c>
      <c r="E24" s="117"/>
      <c r="F24" s="117"/>
      <c r="G24" s="117"/>
      <c r="H24" s="117"/>
      <c r="I24" s="117"/>
    </row>
    <row r="25" spans="1:9" ht="63" x14ac:dyDescent="0.25">
      <c r="A25" s="5">
        <f t="shared" si="1"/>
        <v>6</v>
      </c>
      <c r="B25" s="21" t="s">
        <v>32</v>
      </c>
      <c r="C25" s="23">
        <v>2880</v>
      </c>
      <c r="D25" s="19" t="s">
        <v>11</v>
      </c>
      <c r="E25" s="117"/>
      <c r="F25" s="117"/>
      <c r="G25" s="117"/>
      <c r="H25" s="117"/>
      <c r="I25" s="117"/>
    </row>
    <row r="26" spans="1:9" ht="47.25" x14ac:dyDescent="0.25">
      <c r="A26" s="5">
        <f t="shared" si="1"/>
        <v>7</v>
      </c>
      <c r="B26" s="21" t="s">
        <v>867</v>
      </c>
      <c r="C26" s="23">
        <v>4</v>
      </c>
      <c r="D26" s="19" t="s">
        <v>24</v>
      </c>
      <c r="E26" s="117"/>
      <c r="F26" s="117"/>
      <c r="G26" s="117"/>
      <c r="H26" s="117"/>
      <c r="I26" s="117"/>
    </row>
    <row r="27" spans="1:9" ht="94.5" x14ac:dyDescent="0.25">
      <c r="A27" s="5">
        <f t="shared" si="1"/>
        <v>8</v>
      </c>
      <c r="B27" s="21" t="s">
        <v>34</v>
      </c>
      <c r="C27" s="23">
        <v>46000</v>
      </c>
      <c r="D27" s="19" t="s">
        <v>11</v>
      </c>
      <c r="E27" s="117"/>
      <c r="F27" s="117"/>
      <c r="G27" s="117"/>
      <c r="H27" s="117"/>
      <c r="I27" s="117"/>
    </row>
    <row r="28" spans="1:9" ht="63" x14ac:dyDescent="0.25">
      <c r="A28" s="5">
        <f t="shared" si="1"/>
        <v>9</v>
      </c>
      <c r="B28" s="21" t="s">
        <v>33</v>
      </c>
      <c r="C28" s="23">
        <v>3000</v>
      </c>
      <c r="D28" s="19" t="s">
        <v>11</v>
      </c>
      <c r="E28" s="117"/>
      <c r="F28" s="117"/>
      <c r="G28" s="117"/>
      <c r="H28" s="117"/>
      <c r="I28" s="117"/>
    </row>
    <row r="29" spans="1:9" ht="47.25" x14ac:dyDescent="0.25">
      <c r="A29" s="5">
        <f t="shared" si="1"/>
        <v>10</v>
      </c>
      <c r="B29" s="21" t="s">
        <v>30</v>
      </c>
      <c r="C29" s="23">
        <v>2</v>
      </c>
      <c r="D29" s="14" t="s">
        <v>298</v>
      </c>
      <c r="E29" s="117"/>
      <c r="F29" s="117"/>
      <c r="G29" s="117"/>
      <c r="H29" s="117"/>
      <c r="I29" s="117"/>
    </row>
    <row r="30" spans="1:9" ht="78.75" x14ac:dyDescent="0.25">
      <c r="A30" s="5">
        <f t="shared" si="1"/>
        <v>11</v>
      </c>
      <c r="B30" s="21" t="s">
        <v>802</v>
      </c>
      <c r="C30" s="23">
        <v>5800</v>
      </c>
      <c r="D30" s="19" t="s">
        <v>11</v>
      </c>
      <c r="E30" s="117"/>
      <c r="F30" s="117"/>
      <c r="G30" s="117"/>
      <c r="H30" s="117"/>
      <c r="I30" s="117"/>
    </row>
    <row r="31" spans="1:9" ht="32.25" thickBot="1" x14ac:dyDescent="0.3">
      <c r="A31" s="5">
        <f t="shared" si="1"/>
        <v>12</v>
      </c>
      <c r="B31" s="21" t="s">
        <v>15</v>
      </c>
      <c r="C31" s="23">
        <v>2</v>
      </c>
      <c r="D31" s="14" t="s">
        <v>298</v>
      </c>
      <c r="E31" s="117"/>
      <c r="F31" s="117"/>
      <c r="G31" s="117"/>
      <c r="H31" s="117"/>
      <c r="I31" s="117"/>
    </row>
    <row r="32" spans="1:9" ht="16.5" thickBot="1" x14ac:dyDescent="0.3">
      <c r="A32" s="397" t="s">
        <v>25</v>
      </c>
      <c r="B32" s="398"/>
      <c r="C32" s="82">
        <f>SUM(C20+C21+C22+C23+C25+C27+C28+C30)</f>
        <v>242930</v>
      </c>
      <c r="D32" s="25" t="s">
        <v>11</v>
      </c>
      <c r="E32" s="137"/>
      <c r="F32" s="138"/>
      <c r="G32" s="138"/>
      <c r="H32" s="138"/>
      <c r="I32" s="139"/>
    </row>
    <row r="33" spans="1:9" ht="16.5" thickBot="1" x14ac:dyDescent="0.3">
      <c r="A33" s="12"/>
      <c r="B33" s="16"/>
      <c r="C33" s="13"/>
      <c r="D33" s="17"/>
    </row>
    <row r="34" spans="1:9" ht="16.5" thickBot="1" x14ac:dyDescent="0.3">
      <c r="A34" s="386" t="s">
        <v>39</v>
      </c>
      <c r="B34" s="395"/>
      <c r="C34" s="395"/>
      <c r="D34" s="396"/>
      <c r="E34" s="137"/>
      <c r="F34" s="138"/>
      <c r="G34" s="138"/>
      <c r="H34" s="138"/>
      <c r="I34" s="139"/>
    </row>
    <row r="35" spans="1:9" ht="31.5" x14ac:dyDescent="0.25">
      <c r="A35" s="3">
        <v>1</v>
      </c>
      <c r="B35" s="271" t="s">
        <v>48</v>
      </c>
      <c r="C35" s="23">
        <v>4</v>
      </c>
      <c r="D35" s="19" t="s">
        <v>24</v>
      </c>
      <c r="E35" s="117"/>
      <c r="F35" s="117"/>
      <c r="G35" s="117"/>
      <c r="H35" s="117"/>
      <c r="I35" s="117"/>
    </row>
    <row r="36" spans="1:9" ht="47.25" x14ac:dyDescent="0.25">
      <c r="A36" s="3">
        <f t="shared" ref="A36:A47" si="2">A35+1</f>
        <v>2</v>
      </c>
      <c r="B36" s="20" t="s">
        <v>49</v>
      </c>
      <c r="C36" s="23">
        <v>4</v>
      </c>
      <c r="D36" s="19" t="s">
        <v>24</v>
      </c>
      <c r="E36" s="117"/>
      <c r="F36" s="117"/>
      <c r="G36" s="117"/>
      <c r="H36" s="117"/>
      <c r="I36" s="117"/>
    </row>
    <row r="37" spans="1:9" ht="31.5" x14ac:dyDescent="0.25">
      <c r="A37" s="3">
        <f t="shared" si="2"/>
        <v>3</v>
      </c>
      <c r="B37" s="20" t="s">
        <v>50</v>
      </c>
      <c r="C37" s="23">
        <v>4</v>
      </c>
      <c r="D37" s="19" t="s">
        <v>24</v>
      </c>
      <c r="E37" s="117"/>
      <c r="F37" s="117"/>
      <c r="G37" s="117"/>
      <c r="H37" s="117"/>
      <c r="I37" s="117"/>
    </row>
    <row r="38" spans="1:9" ht="63" x14ac:dyDescent="0.25">
      <c r="A38" s="3">
        <f t="shared" si="2"/>
        <v>4</v>
      </c>
      <c r="B38" s="271" t="s">
        <v>51</v>
      </c>
      <c r="C38" s="23">
        <v>4</v>
      </c>
      <c r="D38" s="19" t="s">
        <v>24</v>
      </c>
      <c r="E38" s="117"/>
      <c r="F38" s="117"/>
      <c r="G38" s="117"/>
      <c r="H38" s="117"/>
      <c r="I38" s="117"/>
    </row>
    <row r="39" spans="1:9" ht="31.5" customHeight="1" x14ac:dyDescent="0.25">
      <c r="A39" s="3">
        <f t="shared" si="2"/>
        <v>5</v>
      </c>
      <c r="B39" s="20" t="s">
        <v>52</v>
      </c>
      <c r="C39" s="23">
        <v>4</v>
      </c>
      <c r="D39" s="19" t="s">
        <v>24</v>
      </c>
      <c r="E39" s="117"/>
      <c r="F39" s="117"/>
      <c r="G39" s="117"/>
      <c r="H39" s="117"/>
      <c r="I39" s="117"/>
    </row>
    <row r="40" spans="1:9" ht="31.5" x14ac:dyDescent="0.25">
      <c r="A40" s="5">
        <f t="shared" si="2"/>
        <v>6</v>
      </c>
      <c r="B40" s="20" t="s">
        <v>53</v>
      </c>
      <c r="C40" s="23">
        <v>4</v>
      </c>
      <c r="D40" s="19" t="s">
        <v>298</v>
      </c>
      <c r="E40" s="117"/>
      <c r="F40" s="117"/>
      <c r="G40" s="117"/>
      <c r="H40" s="117"/>
      <c r="I40" s="117"/>
    </row>
    <row r="41" spans="1:9" ht="23.25" customHeight="1" x14ac:dyDescent="0.25">
      <c r="A41" s="5">
        <f t="shared" si="2"/>
        <v>7</v>
      </c>
      <c r="B41" s="20" t="s">
        <v>54</v>
      </c>
      <c r="C41" s="23">
        <v>4</v>
      </c>
      <c r="D41" s="19" t="s">
        <v>298</v>
      </c>
      <c r="E41" s="117"/>
      <c r="F41" s="117"/>
      <c r="G41" s="117"/>
      <c r="H41" s="117"/>
      <c r="I41" s="117"/>
    </row>
    <row r="42" spans="1:9" ht="21.75" customHeight="1" x14ac:dyDescent="0.25">
      <c r="A42" s="3">
        <f t="shared" si="2"/>
        <v>8</v>
      </c>
      <c r="B42" s="20" t="s">
        <v>37</v>
      </c>
      <c r="C42" s="23">
        <v>4</v>
      </c>
      <c r="D42" s="14" t="s">
        <v>298</v>
      </c>
      <c r="E42" s="117"/>
      <c r="F42" s="117"/>
      <c r="G42" s="117"/>
      <c r="H42" s="117"/>
      <c r="I42" s="117"/>
    </row>
    <row r="43" spans="1:9" ht="31.5" x14ac:dyDescent="0.25">
      <c r="A43" s="3">
        <f t="shared" si="2"/>
        <v>9</v>
      </c>
      <c r="B43" s="20" t="s">
        <v>38</v>
      </c>
      <c r="C43" s="23">
        <v>4</v>
      </c>
      <c r="D43" s="19" t="s">
        <v>24</v>
      </c>
      <c r="E43" s="117"/>
      <c r="F43" s="117"/>
      <c r="G43" s="117"/>
      <c r="H43" s="117"/>
      <c r="I43" s="117"/>
    </row>
    <row r="44" spans="1:9" ht="45.75" customHeight="1" x14ac:dyDescent="0.25">
      <c r="A44" s="3">
        <f t="shared" si="2"/>
        <v>10</v>
      </c>
      <c r="B44" s="20" t="s">
        <v>55</v>
      </c>
      <c r="C44" s="23">
        <v>4</v>
      </c>
      <c r="D44" s="19" t="s">
        <v>24</v>
      </c>
      <c r="E44" s="117"/>
      <c r="F44" s="117"/>
      <c r="G44" s="117"/>
      <c r="H44" s="117"/>
      <c r="I44" s="117"/>
    </row>
    <row r="45" spans="1:9" ht="47.25" x14ac:dyDescent="0.25">
      <c r="A45" s="3">
        <f t="shared" si="2"/>
        <v>11</v>
      </c>
      <c r="B45" s="20" t="s">
        <v>56</v>
      </c>
      <c r="C45" s="23">
        <v>60</v>
      </c>
      <c r="D45" s="19" t="s">
        <v>23</v>
      </c>
      <c r="E45" s="117"/>
      <c r="F45" s="117"/>
      <c r="G45" s="117"/>
      <c r="H45" s="117"/>
      <c r="I45" s="117"/>
    </row>
    <row r="46" spans="1:9" ht="70.5" customHeight="1" x14ac:dyDescent="0.25">
      <c r="A46" s="3">
        <f t="shared" si="2"/>
        <v>12</v>
      </c>
      <c r="B46" s="20" t="s">
        <v>57</v>
      </c>
      <c r="C46" s="23">
        <v>4</v>
      </c>
      <c r="D46" s="19" t="s">
        <v>24</v>
      </c>
      <c r="E46" s="117"/>
      <c r="F46" s="117"/>
      <c r="G46" s="117"/>
      <c r="H46" s="117"/>
      <c r="I46" s="117"/>
    </row>
    <row r="47" spans="1:9" ht="43.5" customHeight="1" thickBot="1" x14ac:dyDescent="0.3">
      <c r="A47" s="3">
        <f t="shared" si="2"/>
        <v>13</v>
      </c>
      <c r="B47" s="20" t="s">
        <v>58</v>
      </c>
      <c r="C47" s="23">
        <v>4</v>
      </c>
      <c r="D47" s="19" t="s">
        <v>24</v>
      </c>
      <c r="E47" s="117"/>
      <c r="F47" s="117"/>
      <c r="G47" s="117"/>
      <c r="H47" s="117"/>
      <c r="I47" s="117"/>
    </row>
    <row r="48" spans="1:9" ht="16.5" thickBot="1" x14ac:dyDescent="0.3">
      <c r="A48" s="206"/>
      <c r="B48" s="207"/>
      <c r="C48" s="207"/>
      <c r="D48" s="207"/>
      <c r="E48" s="207"/>
      <c r="F48" s="207"/>
      <c r="G48" s="207"/>
      <c r="H48" s="207"/>
      <c r="I48" s="207"/>
    </row>
    <row r="49" spans="1:9" ht="16.5" thickBot="1" x14ac:dyDescent="0.3">
      <c r="A49" s="386" t="s">
        <v>823</v>
      </c>
      <c r="B49" s="387"/>
      <c r="C49" s="387"/>
      <c r="D49" s="388"/>
      <c r="E49" s="137"/>
      <c r="F49" s="138"/>
      <c r="G49" s="138"/>
      <c r="H49" s="138"/>
      <c r="I49" s="139"/>
    </row>
    <row r="50" spans="1:9" ht="16.5" thickBot="1" x14ac:dyDescent="0.3">
      <c r="A50" s="377" t="s">
        <v>157</v>
      </c>
      <c r="B50" s="384"/>
      <c r="C50" s="384"/>
      <c r="D50" s="385"/>
      <c r="E50" s="137"/>
      <c r="F50" s="138"/>
      <c r="G50" s="138"/>
      <c r="H50" s="138"/>
      <c r="I50" s="139"/>
    </row>
    <row r="51" spans="1:9" ht="78.75" x14ac:dyDescent="0.25">
      <c r="A51" s="3">
        <v>1</v>
      </c>
      <c r="B51" s="247" t="s">
        <v>345</v>
      </c>
      <c r="C51" s="248">
        <v>3400</v>
      </c>
      <c r="D51" s="14" t="s">
        <v>11</v>
      </c>
      <c r="E51" s="117"/>
      <c r="F51" s="117"/>
      <c r="G51" s="117"/>
      <c r="H51" s="117"/>
      <c r="I51" s="117"/>
    </row>
    <row r="52" spans="1:9" ht="78.75" x14ac:dyDescent="0.25">
      <c r="A52" s="3">
        <f t="shared" ref="A52:A56" si="3">A51+1</f>
        <v>2</v>
      </c>
      <c r="B52" s="20" t="s">
        <v>346</v>
      </c>
      <c r="C52" s="23">
        <v>3800</v>
      </c>
      <c r="D52" s="19" t="s">
        <v>11</v>
      </c>
      <c r="E52" s="117"/>
      <c r="F52" s="117"/>
      <c r="G52" s="117"/>
      <c r="H52" s="117"/>
      <c r="I52" s="117"/>
    </row>
    <row r="53" spans="1:9" ht="180.75" customHeight="1" x14ac:dyDescent="0.25">
      <c r="A53" s="3">
        <f t="shared" si="3"/>
        <v>3</v>
      </c>
      <c r="B53" s="271" t="s">
        <v>347</v>
      </c>
      <c r="C53" s="23">
        <v>1700</v>
      </c>
      <c r="D53" s="19" t="s">
        <v>11</v>
      </c>
      <c r="E53" s="117"/>
      <c r="F53" s="117"/>
      <c r="G53" s="117"/>
      <c r="H53" s="117"/>
      <c r="I53" s="117"/>
    </row>
    <row r="54" spans="1:9" ht="96" customHeight="1" x14ac:dyDescent="0.25">
      <c r="A54" s="11">
        <f t="shared" si="3"/>
        <v>4</v>
      </c>
      <c r="B54" s="49" t="s">
        <v>767</v>
      </c>
      <c r="C54" s="50">
        <v>30</v>
      </c>
      <c r="D54" s="19" t="s">
        <v>24</v>
      </c>
      <c r="E54" s="117"/>
      <c r="F54" s="117"/>
      <c r="G54" s="117"/>
      <c r="H54" s="117"/>
      <c r="I54" s="117"/>
    </row>
    <row r="55" spans="1:9" ht="56.25" customHeight="1" x14ac:dyDescent="0.25">
      <c r="A55" s="11">
        <f t="shared" si="3"/>
        <v>5</v>
      </c>
      <c r="B55" s="52" t="s">
        <v>768</v>
      </c>
      <c r="C55" s="50">
        <v>1</v>
      </c>
      <c r="D55" s="19" t="s">
        <v>24</v>
      </c>
      <c r="E55" s="117"/>
      <c r="F55" s="117"/>
      <c r="G55" s="117"/>
      <c r="H55" s="117"/>
      <c r="I55" s="117"/>
    </row>
    <row r="56" spans="1:9" ht="47.25" x14ac:dyDescent="0.25">
      <c r="A56" s="11">
        <f t="shared" si="3"/>
        <v>6</v>
      </c>
      <c r="B56" s="52" t="s">
        <v>783</v>
      </c>
      <c r="C56" s="50">
        <v>5.8</v>
      </c>
      <c r="D56" s="19" t="s">
        <v>8</v>
      </c>
      <c r="E56" s="117"/>
      <c r="F56" s="117"/>
      <c r="G56" s="117"/>
      <c r="H56" s="117"/>
      <c r="I56" s="117"/>
    </row>
  </sheetData>
  <mergeCells count="16">
    <mergeCell ref="G1:I1"/>
    <mergeCell ref="A1:A2"/>
    <mergeCell ref="B1:B2"/>
    <mergeCell ref="C1:C2"/>
    <mergeCell ref="D1:D2"/>
    <mergeCell ref="E1:F1"/>
    <mergeCell ref="A50:D50"/>
    <mergeCell ref="A49:D49"/>
    <mergeCell ref="A3:D3"/>
    <mergeCell ref="A4:D4"/>
    <mergeCell ref="A5:D5"/>
    <mergeCell ref="A34:D34"/>
    <mergeCell ref="A6:D6"/>
    <mergeCell ref="A32:B32"/>
    <mergeCell ref="A19:D19"/>
    <mergeCell ref="A17:B17"/>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1.1.2. Vízgépészet&amp;R&amp;"Times New Roman,Normál"&amp;9Mennyiségi kiírás (IV. kötet)</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zoomScalePageLayoutView="75" workbookViewId="0">
      <selection activeCell="A19" sqref="A19:XFD19"/>
    </sheetView>
  </sheetViews>
  <sheetFormatPr defaultColWidth="9" defaultRowHeight="15.75" x14ac:dyDescent="0.25"/>
  <cols>
    <col min="1" max="1" width="6" style="93" customWidth="1"/>
    <col min="2" max="2" width="60.28515625" style="93" customWidth="1"/>
    <col min="3" max="3" width="10.7109375" style="93" customWidth="1"/>
    <col min="4" max="4" width="6.7109375" style="93" customWidth="1"/>
    <col min="5" max="8" width="8.7109375" style="93" customWidth="1"/>
    <col min="9" max="9" width="10.42578125" style="93" customWidth="1"/>
    <col min="10" max="16384" width="9" style="93"/>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x14ac:dyDescent="0.25">
      <c r="A3" s="376" t="s">
        <v>0</v>
      </c>
      <c r="B3" s="376"/>
      <c r="C3" s="376"/>
      <c r="D3" s="389"/>
      <c r="E3" s="182"/>
      <c r="F3" s="181"/>
      <c r="G3" s="181"/>
      <c r="H3" s="181"/>
      <c r="I3" s="183"/>
    </row>
    <row r="4" spans="1:10" ht="16.5" thickBot="1" x14ac:dyDescent="0.3">
      <c r="A4" s="390" t="s">
        <v>819</v>
      </c>
      <c r="B4" s="390"/>
      <c r="C4" s="390"/>
      <c r="D4" s="391"/>
      <c r="E4" s="172"/>
      <c r="F4" s="173"/>
      <c r="G4" s="173"/>
      <c r="H4" s="173"/>
      <c r="I4" s="174"/>
    </row>
    <row r="5" spans="1:10" ht="16.5" thickBot="1" x14ac:dyDescent="0.3">
      <c r="A5" s="392" t="s">
        <v>109</v>
      </c>
      <c r="B5" s="393"/>
      <c r="C5" s="393"/>
      <c r="D5" s="394"/>
      <c r="E5" s="134"/>
      <c r="F5" s="135"/>
      <c r="G5" s="135"/>
      <c r="H5" s="135"/>
      <c r="I5" s="136"/>
    </row>
    <row r="6" spans="1:10" ht="16.5" thickBot="1" x14ac:dyDescent="0.3">
      <c r="A6" s="377" t="s">
        <v>344</v>
      </c>
      <c r="B6" s="401"/>
      <c r="C6" s="401"/>
      <c r="D6" s="401"/>
      <c r="E6" s="134"/>
      <c r="F6" s="135"/>
      <c r="G6" s="135"/>
      <c r="H6" s="135"/>
      <c r="I6" s="136"/>
    </row>
    <row r="7" spans="1:10" ht="47.25" x14ac:dyDescent="0.25">
      <c r="A7" s="3">
        <v>1</v>
      </c>
      <c r="B7" s="20" t="s">
        <v>338</v>
      </c>
      <c r="C7" s="23">
        <v>1</v>
      </c>
      <c r="D7" s="123" t="s">
        <v>298</v>
      </c>
      <c r="E7" s="128"/>
      <c r="F7" s="128"/>
      <c r="G7" s="128"/>
      <c r="H7" s="128"/>
      <c r="I7" s="128"/>
      <c r="J7" s="157"/>
    </row>
    <row r="8" spans="1:10" ht="31.5" x14ac:dyDescent="0.25">
      <c r="A8" s="3">
        <v>2</v>
      </c>
      <c r="B8" s="20" t="s">
        <v>339</v>
      </c>
      <c r="C8" s="23">
        <v>1</v>
      </c>
      <c r="D8" s="19" t="s">
        <v>298</v>
      </c>
      <c r="E8" s="128"/>
      <c r="F8" s="128"/>
      <c r="G8" s="128"/>
      <c r="H8" s="128"/>
      <c r="I8" s="128"/>
    </row>
    <row r="9" spans="1:10" ht="34.5" x14ac:dyDescent="0.25">
      <c r="A9" s="3">
        <v>3</v>
      </c>
      <c r="B9" s="20" t="s">
        <v>340</v>
      </c>
      <c r="C9" s="23">
        <v>4000</v>
      </c>
      <c r="D9" s="19" t="s">
        <v>168</v>
      </c>
      <c r="E9" s="128"/>
      <c r="F9" s="128"/>
      <c r="G9" s="128"/>
      <c r="H9" s="128"/>
      <c r="I9" s="128"/>
    </row>
    <row r="10" spans="1:10" ht="28.5" customHeight="1" x14ac:dyDescent="0.25">
      <c r="A10" s="3">
        <v>4</v>
      </c>
      <c r="B10" s="99" t="s">
        <v>341</v>
      </c>
      <c r="C10" s="23">
        <v>1250</v>
      </c>
      <c r="D10" s="19" t="s">
        <v>168</v>
      </c>
      <c r="E10" s="128"/>
      <c r="F10" s="128"/>
      <c r="G10" s="128"/>
      <c r="H10" s="128"/>
      <c r="I10" s="128"/>
    </row>
    <row r="11" spans="1:10" ht="24" customHeight="1" x14ac:dyDescent="0.25">
      <c r="A11" s="3">
        <v>5</v>
      </c>
      <c r="B11" s="20" t="s">
        <v>342</v>
      </c>
      <c r="C11" s="23">
        <v>400</v>
      </c>
      <c r="D11" s="19" t="s">
        <v>168</v>
      </c>
      <c r="E11" s="128"/>
      <c r="F11" s="128"/>
      <c r="G11" s="128"/>
      <c r="H11" s="128"/>
      <c r="I11" s="128"/>
    </row>
    <row r="12" spans="1:10" ht="31.5" x14ac:dyDescent="0.25">
      <c r="A12" s="3">
        <v>6</v>
      </c>
      <c r="B12" s="20" t="s">
        <v>343</v>
      </c>
      <c r="C12" s="23">
        <v>2</v>
      </c>
      <c r="D12" s="19" t="s">
        <v>298</v>
      </c>
      <c r="E12" s="128"/>
      <c r="F12" s="128"/>
      <c r="G12" s="128"/>
      <c r="H12" s="128"/>
      <c r="I12" s="128"/>
    </row>
  </sheetData>
  <mergeCells count="10">
    <mergeCell ref="E1:F1"/>
    <mergeCell ref="G1:I1"/>
    <mergeCell ref="A6:D6"/>
    <mergeCell ref="A3:D3"/>
    <mergeCell ref="A4:D4"/>
    <mergeCell ref="A5:D5"/>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1.1.3. Elektromos ellátás&amp;R&amp;"Times New Roman,Normál"&amp;9Mennyiségi kiírás (IV. kötet)</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36" zoomScaleNormal="100" zoomScalePageLayoutView="80" workbookViewId="0">
      <selection activeCell="A16" sqref="A16:A34"/>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 style="8"/>
  </cols>
  <sheetData>
    <row r="1" spans="1:11" ht="15.75" x14ac:dyDescent="0.25">
      <c r="A1" s="373" t="s">
        <v>265</v>
      </c>
      <c r="B1" s="371" t="s">
        <v>262</v>
      </c>
      <c r="C1" s="371" t="s">
        <v>263</v>
      </c>
      <c r="D1" s="371" t="s">
        <v>264</v>
      </c>
      <c r="E1" s="371" t="s">
        <v>666</v>
      </c>
      <c r="F1" s="371"/>
      <c r="G1" s="371" t="s">
        <v>667</v>
      </c>
      <c r="H1" s="371"/>
      <c r="I1" s="372"/>
    </row>
    <row r="2" spans="1:11" ht="16.5" thickBot="1" x14ac:dyDescent="0.3">
      <c r="A2" s="374"/>
      <c r="B2" s="375"/>
      <c r="C2" s="375"/>
      <c r="D2" s="375"/>
      <c r="E2" s="250" t="s">
        <v>668</v>
      </c>
      <c r="F2" s="250" t="s">
        <v>669</v>
      </c>
      <c r="G2" s="250" t="s">
        <v>668</v>
      </c>
      <c r="H2" s="250" t="s">
        <v>669</v>
      </c>
      <c r="I2" s="112" t="s">
        <v>670</v>
      </c>
    </row>
    <row r="3" spans="1:11" ht="15.75" customHeight="1" x14ac:dyDescent="0.25">
      <c r="A3" s="376" t="s">
        <v>0</v>
      </c>
      <c r="B3" s="376"/>
      <c r="C3" s="376"/>
      <c r="D3" s="376"/>
      <c r="E3" s="184"/>
      <c r="F3" s="196"/>
      <c r="G3" s="196"/>
      <c r="H3" s="196"/>
      <c r="I3" s="197"/>
    </row>
    <row r="4" spans="1:11" ht="15.75" customHeight="1" x14ac:dyDescent="0.25">
      <c r="A4" s="365" t="s">
        <v>820</v>
      </c>
      <c r="B4" s="365"/>
      <c r="C4" s="365"/>
      <c r="D4" s="365"/>
      <c r="E4" s="152"/>
      <c r="F4" s="153"/>
      <c r="G4" s="153"/>
      <c r="H4" s="153"/>
      <c r="I4" s="154"/>
    </row>
    <row r="5" spans="1:11" ht="15.75" customHeight="1" x14ac:dyDescent="0.25">
      <c r="A5" s="365" t="s">
        <v>821</v>
      </c>
      <c r="B5" s="365"/>
      <c r="C5" s="365"/>
      <c r="D5" s="365"/>
      <c r="E5" s="152"/>
      <c r="F5" s="153"/>
      <c r="G5" s="153"/>
      <c r="H5" s="153"/>
      <c r="I5" s="154"/>
    </row>
    <row r="6" spans="1:11" ht="16.5" thickBot="1" x14ac:dyDescent="0.3">
      <c r="A6" s="83"/>
      <c r="B6" s="83"/>
      <c r="C6" s="83"/>
      <c r="D6" s="83"/>
      <c r="E6" s="2"/>
      <c r="F6" s="2"/>
      <c r="G6" s="2"/>
      <c r="H6" s="2"/>
      <c r="I6" s="2"/>
    </row>
    <row r="7" spans="1:11" ht="16.5" thickBot="1" x14ac:dyDescent="0.3">
      <c r="A7" s="377" t="s">
        <v>1</v>
      </c>
      <c r="B7" s="378"/>
      <c r="C7" s="378"/>
      <c r="D7" s="379"/>
      <c r="E7" s="137"/>
      <c r="F7" s="138"/>
      <c r="G7" s="138"/>
      <c r="H7" s="138"/>
      <c r="I7" s="226"/>
    </row>
    <row r="8" spans="1:11" ht="32.25" customHeight="1" thickBot="1" x14ac:dyDescent="0.3">
      <c r="A8" s="369" t="s">
        <v>327</v>
      </c>
      <c r="B8" s="370"/>
      <c r="C8" s="370"/>
      <c r="D8" s="370"/>
      <c r="E8" s="137"/>
      <c r="F8" s="138"/>
      <c r="G8" s="138"/>
      <c r="H8" s="138"/>
      <c r="I8" s="139"/>
      <c r="J8" s="166"/>
    </row>
    <row r="9" spans="1:11" ht="32.25" customHeight="1" thickBot="1" x14ac:dyDescent="0.3">
      <c r="A9" s="381" t="s">
        <v>766</v>
      </c>
      <c r="B9" s="382"/>
      <c r="C9" s="382"/>
      <c r="D9" s="383"/>
      <c r="E9" s="137"/>
      <c r="F9" s="138"/>
      <c r="G9" s="138"/>
      <c r="H9" s="138"/>
      <c r="I9" s="139"/>
      <c r="J9" s="166"/>
    </row>
    <row r="10" spans="1:11" ht="47.25" x14ac:dyDescent="0.25">
      <c r="A10" s="3">
        <v>1</v>
      </c>
      <c r="B10" s="37" t="s">
        <v>326</v>
      </c>
      <c r="C10" s="26">
        <v>39800</v>
      </c>
      <c r="D10" s="14" t="s">
        <v>2</v>
      </c>
      <c r="E10" s="132"/>
      <c r="F10" s="132"/>
      <c r="G10" s="132"/>
      <c r="H10" s="132"/>
      <c r="I10" s="132"/>
    </row>
    <row r="11" spans="1:11" ht="63" x14ac:dyDescent="0.25">
      <c r="A11" s="3">
        <f>A10+1</f>
        <v>2</v>
      </c>
      <c r="B11" s="37" t="s">
        <v>640</v>
      </c>
      <c r="C11" s="26">
        <v>1600</v>
      </c>
      <c r="D11" s="14" t="s">
        <v>2</v>
      </c>
      <c r="E11" s="117"/>
      <c r="F11" s="117"/>
      <c r="G11" s="117"/>
      <c r="H11" s="117"/>
      <c r="I11" s="117"/>
    </row>
    <row r="12" spans="1:11" ht="31.5" x14ac:dyDescent="0.25">
      <c r="A12" s="5">
        <f>A11+1</f>
        <v>3</v>
      </c>
      <c r="B12" s="57" t="s">
        <v>641</v>
      </c>
      <c r="C12" s="103">
        <v>900</v>
      </c>
      <c r="D12" s="19" t="s">
        <v>2</v>
      </c>
      <c r="E12" s="117"/>
      <c r="F12" s="117"/>
      <c r="G12" s="117"/>
      <c r="H12" s="117"/>
      <c r="I12" s="117"/>
    </row>
    <row r="13" spans="1:11" ht="16.5" thickBot="1" x14ac:dyDescent="0.3">
      <c r="A13" s="101"/>
      <c r="B13" s="91"/>
      <c r="C13" s="92"/>
      <c r="D13" s="100"/>
    </row>
    <row r="14" spans="1:11" ht="16.5" thickBot="1" x14ac:dyDescent="0.3">
      <c r="A14" s="366" t="s">
        <v>3</v>
      </c>
      <c r="B14" s="367"/>
      <c r="C14" s="367"/>
      <c r="D14" s="368"/>
      <c r="E14" s="137"/>
      <c r="F14" s="138"/>
      <c r="G14" s="138"/>
      <c r="H14" s="138"/>
      <c r="I14" s="139"/>
      <c r="J14" s="18"/>
      <c r="K14" s="18"/>
    </row>
    <row r="15" spans="1:11" ht="31.5" x14ac:dyDescent="0.25">
      <c r="A15" s="56">
        <v>1</v>
      </c>
      <c r="B15" s="27" t="s">
        <v>99</v>
      </c>
      <c r="C15" s="31">
        <v>320</v>
      </c>
      <c r="D15" s="28" t="s">
        <v>2</v>
      </c>
      <c r="E15" s="117"/>
      <c r="F15" s="186"/>
      <c r="G15" s="187"/>
      <c r="H15" s="188"/>
      <c r="I15" s="187"/>
      <c r="J15" s="18"/>
      <c r="K15" s="18"/>
    </row>
    <row r="16" spans="1:11" ht="31.5" x14ac:dyDescent="0.25">
      <c r="A16" s="11">
        <f>A15+1</f>
        <v>2</v>
      </c>
      <c r="B16" s="27" t="s">
        <v>810</v>
      </c>
      <c r="C16" s="31">
        <v>5360</v>
      </c>
      <c r="D16" s="28" t="s">
        <v>2</v>
      </c>
      <c r="E16" s="117"/>
      <c r="F16" s="117"/>
      <c r="G16" s="187"/>
      <c r="H16" s="188"/>
      <c r="I16" s="179"/>
      <c r="J16" s="18"/>
      <c r="K16" s="18"/>
    </row>
    <row r="17" spans="1:11" ht="31.5" x14ac:dyDescent="0.25">
      <c r="A17" s="11">
        <f t="shared" ref="A17:A34" si="0">A16+1</f>
        <v>3</v>
      </c>
      <c r="B17" s="27" t="s">
        <v>812</v>
      </c>
      <c r="C17" s="31">
        <v>660</v>
      </c>
      <c r="D17" s="28" t="s">
        <v>2</v>
      </c>
      <c r="E17" s="117"/>
      <c r="F17" s="117"/>
      <c r="G17" s="187"/>
      <c r="H17" s="188"/>
      <c r="I17" s="179"/>
      <c r="J17" s="18"/>
      <c r="K17" s="18"/>
    </row>
    <row r="18" spans="1:11" ht="31.5" x14ac:dyDescent="0.25">
      <c r="A18" s="11">
        <f t="shared" si="0"/>
        <v>4</v>
      </c>
      <c r="B18" s="65" t="s">
        <v>93</v>
      </c>
      <c r="C18" s="97">
        <v>1990</v>
      </c>
      <c r="D18" s="98" t="s">
        <v>2</v>
      </c>
      <c r="E18" s="117"/>
      <c r="F18" s="117"/>
      <c r="G18" s="187"/>
      <c r="H18" s="188"/>
      <c r="I18" s="189"/>
      <c r="J18" s="32"/>
      <c r="K18" s="18"/>
    </row>
    <row r="19" spans="1:11" ht="31.5" x14ac:dyDescent="0.25">
      <c r="A19" s="11">
        <f t="shared" si="0"/>
        <v>5</v>
      </c>
      <c r="B19" s="65" t="s">
        <v>94</v>
      </c>
      <c r="C19" s="97">
        <v>19500</v>
      </c>
      <c r="D19" s="98" t="s">
        <v>2</v>
      </c>
      <c r="E19" s="117"/>
      <c r="F19" s="117"/>
      <c r="G19" s="187"/>
      <c r="H19" s="188"/>
      <c r="I19" s="97"/>
      <c r="J19" s="33"/>
      <c r="K19" s="18"/>
    </row>
    <row r="20" spans="1:11" ht="78.75" x14ac:dyDescent="0.25">
      <c r="A20" s="11">
        <f t="shared" si="0"/>
        <v>6</v>
      </c>
      <c r="B20" s="29" t="s">
        <v>98</v>
      </c>
      <c r="C20" s="31">
        <v>41200</v>
      </c>
      <c r="D20" s="28" t="s">
        <v>95</v>
      </c>
      <c r="E20" s="117"/>
      <c r="F20" s="117"/>
      <c r="G20" s="187"/>
      <c r="H20" s="188"/>
      <c r="I20" s="190"/>
      <c r="J20" s="34"/>
      <c r="K20" s="18"/>
    </row>
    <row r="21" spans="1:11" ht="31.5" x14ac:dyDescent="0.25">
      <c r="A21" s="11">
        <f t="shared" si="0"/>
        <v>7</v>
      </c>
      <c r="B21" s="27" t="s">
        <v>6</v>
      </c>
      <c r="C21" s="31">
        <v>390</v>
      </c>
      <c r="D21" s="28" t="s">
        <v>2</v>
      </c>
      <c r="E21" s="117"/>
      <c r="F21" s="117"/>
      <c r="G21" s="187"/>
      <c r="H21" s="188"/>
      <c r="I21" s="191"/>
      <c r="J21" s="35"/>
      <c r="K21" s="36"/>
    </row>
    <row r="22" spans="1:11" ht="94.5" x14ac:dyDescent="0.25">
      <c r="A22" s="11">
        <f t="shared" si="0"/>
        <v>8</v>
      </c>
      <c r="B22" s="27" t="s">
        <v>814</v>
      </c>
      <c r="C22" s="31">
        <v>10800</v>
      </c>
      <c r="D22" s="28" t="s">
        <v>2</v>
      </c>
      <c r="E22" s="117"/>
      <c r="F22" s="117"/>
      <c r="G22" s="187"/>
      <c r="H22" s="188"/>
      <c r="I22" s="179"/>
      <c r="J22" s="18"/>
      <c r="K22" s="18"/>
    </row>
    <row r="23" spans="1:11" ht="31.5" x14ac:dyDescent="0.25">
      <c r="A23" s="11">
        <f t="shared" si="0"/>
        <v>9</v>
      </c>
      <c r="B23" s="30" t="s">
        <v>103</v>
      </c>
      <c r="C23" s="31">
        <v>1300</v>
      </c>
      <c r="D23" s="28" t="s">
        <v>8</v>
      </c>
      <c r="E23" s="117"/>
      <c r="F23" s="117"/>
      <c r="G23" s="187"/>
      <c r="H23" s="188"/>
      <c r="I23" s="179"/>
      <c r="J23" s="18"/>
      <c r="K23" s="18"/>
    </row>
    <row r="24" spans="1:11" ht="63" x14ac:dyDescent="0.25">
      <c r="A24" s="11">
        <f t="shared" si="0"/>
        <v>10</v>
      </c>
      <c r="B24" s="65" t="s">
        <v>660</v>
      </c>
      <c r="C24" s="97">
        <v>1180</v>
      </c>
      <c r="D24" s="98" t="s">
        <v>2</v>
      </c>
      <c r="E24" s="117"/>
      <c r="F24" s="117"/>
      <c r="G24" s="192"/>
      <c r="H24" s="193"/>
      <c r="I24" s="179"/>
      <c r="J24" s="18"/>
      <c r="K24" s="18"/>
    </row>
    <row r="25" spans="1:11" ht="31.5" x14ac:dyDescent="0.25">
      <c r="A25" s="11">
        <f t="shared" si="0"/>
        <v>11</v>
      </c>
      <c r="B25" s="30" t="s">
        <v>103</v>
      </c>
      <c r="C25" s="31">
        <v>212</v>
      </c>
      <c r="D25" s="28" t="s">
        <v>8</v>
      </c>
      <c r="E25" s="117"/>
      <c r="F25" s="117"/>
      <c r="G25" s="192"/>
      <c r="H25" s="194"/>
      <c r="I25" s="179"/>
      <c r="J25" s="18"/>
      <c r="K25" s="18"/>
    </row>
    <row r="26" spans="1:11" ht="63" x14ac:dyDescent="0.25">
      <c r="A26" s="11">
        <f t="shared" si="0"/>
        <v>12</v>
      </c>
      <c r="B26" s="27" t="s">
        <v>813</v>
      </c>
      <c r="C26" s="31">
        <v>770</v>
      </c>
      <c r="D26" s="28" t="s">
        <v>2</v>
      </c>
      <c r="E26" s="117"/>
      <c r="F26" s="117"/>
      <c r="G26" s="192"/>
      <c r="H26" s="195"/>
      <c r="I26" s="179"/>
      <c r="J26" s="18"/>
      <c r="K26" s="18"/>
    </row>
    <row r="27" spans="1:11" ht="31.5" x14ac:dyDescent="0.25">
      <c r="A27" s="11">
        <f t="shared" si="0"/>
        <v>13</v>
      </c>
      <c r="B27" s="105" t="s">
        <v>100</v>
      </c>
      <c r="C27" s="97">
        <v>93</v>
      </c>
      <c r="D27" s="98" t="s">
        <v>8</v>
      </c>
      <c r="E27" s="117"/>
      <c r="F27" s="117"/>
      <c r="G27" s="187"/>
      <c r="H27" s="188"/>
      <c r="I27" s="179"/>
      <c r="J27" s="18"/>
      <c r="K27" s="18"/>
    </row>
    <row r="28" spans="1:11" ht="78.75" x14ac:dyDescent="0.25">
      <c r="A28" s="11">
        <f t="shared" si="0"/>
        <v>14</v>
      </c>
      <c r="B28" s="65" t="s">
        <v>348</v>
      </c>
      <c r="C28" s="270">
        <v>18300</v>
      </c>
      <c r="D28" s="98" t="s">
        <v>2</v>
      </c>
      <c r="E28" s="117"/>
      <c r="F28" s="117"/>
      <c r="G28" s="179"/>
      <c r="H28" s="179"/>
      <c r="I28" s="179"/>
      <c r="J28" s="18"/>
      <c r="K28" s="18"/>
    </row>
    <row r="29" spans="1:11" ht="94.5" x14ac:dyDescent="0.25">
      <c r="A29" s="11">
        <f t="shared" si="0"/>
        <v>15</v>
      </c>
      <c r="B29" s="30" t="s">
        <v>661</v>
      </c>
      <c r="C29" s="263">
        <v>6240</v>
      </c>
      <c r="D29" s="28" t="s">
        <v>7</v>
      </c>
      <c r="E29" s="117"/>
      <c r="F29" s="117"/>
      <c r="G29" s="179"/>
      <c r="H29" s="179"/>
      <c r="I29" s="179"/>
      <c r="J29" s="18"/>
      <c r="K29" s="18"/>
    </row>
    <row r="30" spans="1:11" ht="31.5" x14ac:dyDescent="0.25">
      <c r="A30" s="11">
        <f t="shared" si="0"/>
        <v>16</v>
      </c>
      <c r="B30" s="30" t="s">
        <v>103</v>
      </c>
      <c r="C30" s="263">
        <f>ROUNDUP(C28*0.12,-1)</f>
        <v>2200</v>
      </c>
      <c r="D30" s="28" t="s">
        <v>8</v>
      </c>
      <c r="E30" s="117"/>
      <c r="F30" s="117"/>
      <c r="G30" s="117"/>
      <c r="H30" s="117"/>
      <c r="I30" s="117"/>
    </row>
    <row r="31" spans="1:11" ht="88.5" customHeight="1" x14ac:dyDescent="0.25">
      <c r="A31" s="11">
        <f t="shared" si="0"/>
        <v>17</v>
      </c>
      <c r="B31" s="27" t="s">
        <v>662</v>
      </c>
      <c r="C31" s="263">
        <v>1620</v>
      </c>
      <c r="D31" s="28" t="s">
        <v>2</v>
      </c>
      <c r="E31" s="117"/>
      <c r="F31" s="117"/>
      <c r="G31" s="117"/>
      <c r="H31" s="117"/>
      <c r="I31" s="117"/>
    </row>
    <row r="32" spans="1:11" ht="18.75" x14ac:dyDescent="0.25">
      <c r="A32" s="11">
        <f t="shared" si="0"/>
        <v>18</v>
      </c>
      <c r="B32" s="30" t="s">
        <v>105</v>
      </c>
      <c r="C32" s="263">
        <v>2580</v>
      </c>
      <c r="D32" s="28" t="s">
        <v>7</v>
      </c>
      <c r="E32" s="117"/>
      <c r="F32" s="117"/>
      <c r="G32" s="117"/>
      <c r="H32" s="117"/>
      <c r="I32" s="117"/>
    </row>
    <row r="33" spans="1:9" ht="31.5" x14ac:dyDescent="0.25">
      <c r="A33" s="11">
        <f t="shared" si="0"/>
        <v>19</v>
      </c>
      <c r="B33" s="30" t="s">
        <v>103</v>
      </c>
      <c r="C33" s="263">
        <f>C31*0.18</f>
        <v>291.59999999999997</v>
      </c>
      <c r="D33" s="28" t="s">
        <v>8</v>
      </c>
      <c r="E33" s="117"/>
      <c r="F33" s="117"/>
      <c r="G33" s="117"/>
      <c r="H33" s="117"/>
      <c r="I33" s="117"/>
    </row>
    <row r="34" spans="1:9" ht="47.25" x14ac:dyDescent="0.25">
      <c r="A34" s="11">
        <f t="shared" si="0"/>
        <v>20</v>
      </c>
      <c r="B34" s="105" t="s">
        <v>642</v>
      </c>
      <c r="C34" s="109">
        <v>240</v>
      </c>
      <c r="D34" s="98" t="s">
        <v>7</v>
      </c>
      <c r="E34" s="117"/>
      <c r="F34" s="117"/>
      <c r="G34" s="117"/>
      <c r="H34" s="117"/>
      <c r="I34" s="117"/>
    </row>
    <row r="35" spans="1:9" ht="15.75" x14ac:dyDescent="0.25">
      <c r="A35" s="12"/>
      <c r="B35" s="104"/>
      <c r="C35" s="13"/>
      <c r="D35" s="17"/>
    </row>
    <row r="36" spans="1:9" ht="16.5" thickBot="1" x14ac:dyDescent="0.3">
      <c r="A36" s="107"/>
      <c r="B36" s="106"/>
      <c r="C36" s="24"/>
      <c r="D36" s="24"/>
    </row>
    <row r="37" spans="1:9" ht="16.5" thickBot="1" x14ac:dyDescent="0.3">
      <c r="A37" s="377" t="s">
        <v>350</v>
      </c>
      <c r="B37" s="378"/>
      <c r="C37" s="378"/>
      <c r="D37" s="379"/>
      <c r="E37" s="137"/>
      <c r="F37" s="138"/>
      <c r="G37" s="138"/>
      <c r="H37" s="138"/>
      <c r="I37" s="139"/>
    </row>
    <row r="38" spans="1:9" ht="78.75" x14ac:dyDescent="0.25">
      <c r="A38" s="3">
        <v>1</v>
      </c>
      <c r="B38" s="4" t="s">
        <v>356</v>
      </c>
      <c r="C38" s="108">
        <v>9.8000000000000007</v>
      </c>
      <c r="D38" s="14" t="s">
        <v>8</v>
      </c>
      <c r="E38" s="132"/>
      <c r="F38" s="132"/>
      <c r="G38" s="132"/>
      <c r="H38" s="132"/>
      <c r="I38" s="132"/>
    </row>
    <row r="39" spans="1:9" ht="47.25" x14ac:dyDescent="0.25">
      <c r="A39" s="11">
        <f t="shared" ref="A39:A42" si="1">A38+1</f>
        <v>2</v>
      </c>
      <c r="B39" s="49" t="s">
        <v>351</v>
      </c>
      <c r="C39" s="58">
        <v>4</v>
      </c>
      <c r="D39" s="19" t="s">
        <v>24</v>
      </c>
      <c r="E39" s="117"/>
      <c r="F39" s="117"/>
      <c r="G39" s="117"/>
      <c r="H39" s="117"/>
      <c r="I39" s="117"/>
    </row>
    <row r="40" spans="1:9" ht="47.25" x14ac:dyDescent="0.25">
      <c r="A40" s="11">
        <f t="shared" si="1"/>
        <v>3</v>
      </c>
      <c r="B40" s="49" t="s">
        <v>352</v>
      </c>
      <c r="C40" s="58">
        <v>4</v>
      </c>
      <c r="D40" s="19" t="s">
        <v>24</v>
      </c>
      <c r="E40" s="117"/>
      <c r="F40" s="117"/>
      <c r="G40" s="117"/>
      <c r="H40" s="117"/>
      <c r="I40" s="117"/>
    </row>
    <row r="41" spans="1:9" ht="47.25" x14ac:dyDescent="0.25">
      <c r="A41" s="11">
        <f t="shared" si="1"/>
        <v>4</v>
      </c>
      <c r="B41" s="49" t="s">
        <v>353</v>
      </c>
      <c r="C41" s="58">
        <v>4</v>
      </c>
      <c r="D41" s="19" t="s">
        <v>24</v>
      </c>
      <c r="E41" s="117"/>
      <c r="F41" s="117"/>
      <c r="G41" s="117"/>
      <c r="H41" s="117"/>
      <c r="I41" s="117"/>
    </row>
    <row r="42" spans="1:9" ht="31.5" x14ac:dyDescent="0.25">
      <c r="A42" s="11">
        <f t="shared" si="1"/>
        <v>5</v>
      </c>
      <c r="B42" s="52" t="s">
        <v>355</v>
      </c>
      <c r="C42" s="58">
        <v>4</v>
      </c>
      <c r="D42" s="19" t="s">
        <v>24</v>
      </c>
      <c r="E42" s="117"/>
      <c r="F42" s="117"/>
      <c r="G42" s="117"/>
      <c r="H42" s="117"/>
      <c r="I42" s="117"/>
    </row>
    <row r="43" spans="1:9" ht="15.75" x14ac:dyDescent="0.25">
      <c r="B43" s="48"/>
      <c r="C43" s="9"/>
      <c r="D43" s="9"/>
    </row>
    <row r="44" spans="1:9" ht="15.75" x14ac:dyDescent="0.25">
      <c r="B44" s="48"/>
      <c r="C44" s="9"/>
      <c r="D44" s="9"/>
    </row>
    <row r="45" spans="1:9" ht="15.75" x14ac:dyDescent="0.25">
      <c r="B45" s="48"/>
    </row>
    <row r="46" spans="1:9" ht="15.75" x14ac:dyDescent="0.25">
      <c r="B46" s="48"/>
    </row>
    <row r="47" spans="1:9" ht="15.75" x14ac:dyDescent="0.25">
      <c r="B47" s="48"/>
    </row>
    <row r="48" spans="1:9" ht="15.75" x14ac:dyDescent="0.25">
      <c r="B48" s="48"/>
    </row>
    <row r="49" spans="2:2" ht="15.75" x14ac:dyDescent="0.25">
      <c r="B49" s="48"/>
    </row>
    <row r="50" spans="2:2" ht="15.75" x14ac:dyDescent="0.25">
      <c r="B50" s="48"/>
    </row>
    <row r="51" spans="2:2" ht="15.75" x14ac:dyDescent="0.25">
      <c r="B51" s="48"/>
    </row>
    <row r="52" spans="2:2" ht="15.75" x14ac:dyDescent="0.25">
      <c r="B52" s="48"/>
    </row>
    <row r="53" spans="2:2" ht="15.75" x14ac:dyDescent="0.25">
      <c r="B53" s="48"/>
    </row>
    <row r="54" spans="2:2" ht="15.75" x14ac:dyDescent="0.25">
      <c r="B54" s="48"/>
    </row>
    <row r="55" spans="2:2" ht="15.75" x14ac:dyDescent="0.25">
      <c r="B55" s="48"/>
    </row>
    <row r="56" spans="2:2" ht="15.75" x14ac:dyDescent="0.25">
      <c r="B56" s="48"/>
    </row>
    <row r="57" spans="2:2" ht="15.75" x14ac:dyDescent="0.25">
      <c r="B57" s="48"/>
    </row>
    <row r="58" spans="2:2" ht="15.75" x14ac:dyDescent="0.25">
      <c r="B58" s="48"/>
    </row>
    <row r="59" spans="2:2" ht="15.75" x14ac:dyDescent="0.25">
      <c r="B59" s="48"/>
    </row>
    <row r="60" spans="2:2" ht="15.75" x14ac:dyDescent="0.25">
      <c r="B60" s="48"/>
    </row>
    <row r="61" spans="2:2" ht="15.75" x14ac:dyDescent="0.25">
      <c r="B61" s="48"/>
    </row>
    <row r="62" spans="2:2" ht="15.75" x14ac:dyDescent="0.25">
      <c r="B62" s="48"/>
    </row>
  </sheetData>
  <mergeCells count="14">
    <mergeCell ref="A14:D14"/>
    <mergeCell ref="A37:D37"/>
    <mergeCell ref="E1:F1"/>
    <mergeCell ref="G1:I1"/>
    <mergeCell ref="A9:D9"/>
    <mergeCell ref="A1:A2"/>
    <mergeCell ref="B1:B2"/>
    <mergeCell ref="C1:C2"/>
    <mergeCell ref="D1:D2"/>
    <mergeCell ref="A3:D3"/>
    <mergeCell ref="A4:D4"/>
    <mergeCell ref="A5:D5"/>
    <mergeCell ref="A7:D7"/>
    <mergeCell ref="A8:D8"/>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1.2.1. Építészet-szerkezet&amp;R&amp;"Times New Roman,Normál"&amp;9Mennyiségi kiírás (IV. kötet)</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Normal="100" zoomScalePageLayoutView="75" workbookViewId="0">
      <selection activeCell="B104" sqref="B104"/>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6384" width="9" style="8"/>
  </cols>
  <sheetData>
    <row r="1" spans="1:9" ht="15.75" customHeight="1" x14ac:dyDescent="0.25">
      <c r="A1" s="399" t="s">
        <v>646</v>
      </c>
      <c r="B1" s="371" t="s">
        <v>262</v>
      </c>
      <c r="C1" s="371" t="s">
        <v>263</v>
      </c>
      <c r="D1" s="371" t="s">
        <v>264</v>
      </c>
      <c r="E1" s="371" t="s">
        <v>666</v>
      </c>
      <c r="F1" s="371"/>
      <c r="G1" s="371" t="s">
        <v>667</v>
      </c>
      <c r="H1" s="371"/>
      <c r="I1" s="372"/>
    </row>
    <row r="2" spans="1:9" ht="15.75" customHeight="1" thickBot="1" x14ac:dyDescent="0.3">
      <c r="A2" s="400"/>
      <c r="B2" s="375"/>
      <c r="C2" s="375"/>
      <c r="D2" s="375"/>
      <c r="E2" s="250" t="s">
        <v>668</v>
      </c>
      <c r="F2" s="250" t="s">
        <v>669</v>
      </c>
      <c r="G2" s="250" t="s">
        <v>668</v>
      </c>
      <c r="H2" s="250" t="s">
        <v>669</v>
      </c>
      <c r="I2" s="112" t="s">
        <v>670</v>
      </c>
    </row>
    <row r="3" spans="1:9" ht="15.75" x14ac:dyDescent="0.25">
      <c r="A3" s="376" t="s">
        <v>0</v>
      </c>
      <c r="B3" s="376"/>
      <c r="C3" s="376"/>
      <c r="D3" s="389"/>
      <c r="E3" s="160"/>
      <c r="F3" s="161"/>
      <c r="G3" s="161"/>
      <c r="H3" s="161"/>
      <c r="I3" s="162"/>
    </row>
    <row r="4" spans="1:9" ht="16.5" thickBot="1" x14ac:dyDescent="0.3">
      <c r="A4" s="390" t="s">
        <v>820</v>
      </c>
      <c r="B4" s="390"/>
      <c r="C4" s="390"/>
      <c r="D4" s="391"/>
      <c r="E4" s="163"/>
      <c r="F4" s="164"/>
      <c r="G4" s="164"/>
      <c r="H4" s="164"/>
      <c r="I4" s="165"/>
    </row>
    <row r="5" spans="1:9" ht="16.5" thickBot="1" x14ac:dyDescent="0.3">
      <c r="A5" s="392" t="s">
        <v>822</v>
      </c>
      <c r="B5" s="393"/>
      <c r="C5" s="393"/>
      <c r="D5" s="394"/>
      <c r="E5" s="137"/>
      <c r="F5" s="138"/>
      <c r="G5" s="138"/>
      <c r="H5" s="138"/>
      <c r="I5" s="139"/>
    </row>
    <row r="6" spans="1:9" ht="16.5" thickBot="1" x14ac:dyDescent="0.3">
      <c r="A6" s="386" t="s">
        <v>824</v>
      </c>
      <c r="B6" s="395"/>
      <c r="C6" s="395"/>
      <c r="D6" s="396"/>
      <c r="E6" s="137"/>
      <c r="F6" s="138"/>
      <c r="G6" s="138"/>
      <c r="H6" s="138"/>
      <c r="I6" s="139"/>
    </row>
    <row r="7" spans="1:9" ht="68.25" customHeight="1" x14ac:dyDescent="0.25">
      <c r="A7" s="3">
        <v>1</v>
      </c>
      <c r="B7" s="20" t="s">
        <v>270</v>
      </c>
      <c r="C7" s="23">
        <v>2050</v>
      </c>
      <c r="D7" s="19" t="s">
        <v>11</v>
      </c>
      <c r="E7" s="132"/>
      <c r="F7" s="132"/>
      <c r="G7" s="132"/>
      <c r="H7" s="132"/>
      <c r="I7" s="132"/>
    </row>
    <row r="8" spans="1:9" ht="147.75" customHeight="1" x14ac:dyDescent="0.25">
      <c r="A8" s="5">
        <f t="shared" ref="A8:A19" si="0">A7+1</f>
        <v>2</v>
      </c>
      <c r="B8" s="20" t="s">
        <v>268</v>
      </c>
      <c r="C8" s="23">
        <v>3900</v>
      </c>
      <c r="D8" s="19" t="s">
        <v>11</v>
      </c>
      <c r="E8" s="117"/>
      <c r="F8" s="117"/>
      <c r="G8" s="117"/>
      <c r="H8" s="117"/>
      <c r="I8" s="117"/>
    </row>
    <row r="9" spans="1:9" ht="84" customHeight="1" x14ac:dyDescent="0.25">
      <c r="A9" s="5">
        <f t="shared" si="0"/>
        <v>3</v>
      </c>
      <c r="B9" s="20" t="s">
        <v>267</v>
      </c>
      <c r="C9" s="23">
        <v>1690</v>
      </c>
      <c r="D9" s="19" t="s">
        <v>11</v>
      </c>
      <c r="E9" s="117"/>
      <c r="F9" s="117"/>
      <c r="G9" s="117"/>
      <c r="H9" s="117"/>
      <c r="I9" s="117"/>
    </row>
    <row r="10" spans="1:9" ht="213.75" customHeight="1" x14ac:dyDescent="0.25">
      <c r="A10" s="3">
        <f t="shared" si="0"/>
        <v>4</v>
      </c>
      <c r="B10" s="20" t="s">
        <v>269</v>
      </c>
      <c r="C10" s="23">
        <v>70000</v>
      </c>
      <c r="D10" s="19" t="s">
        <v>11</v>
      </c>
      <c r="E10" s="117"/>
      <c r="F10" s="117"/>
      <c r="G10" s="117"/>
      <c r="H10" s="117"/>
      <c r="I10" s="117"/>
    </row>
    <row r="11" spans="1:9" ht="63" x14ac:dyDescent="0.25">
      <c r="A11" s="3">
        <f t="shared" si="0"/>
        <v>5</v>
      </c>
      <c r="B11" s="20" t="s">
        <v>40</v>
      </c>
      <c r="C11" s="23">
        <v>64</v>
      </c>
      <c r="D11" s="19" t="s">
        <v>23</v>
      </c>
      <c r="E11" s="117"/>
      <c r="F11" s="117"/>
      <c r="G11" s="117"/>
      <c r="H11" s="117"/>
      <c r="I11" s="117"/>
    </row>
    <row r="12" spans="1:9" ht="63" x14ac:dyDescent="0.25">
      <c r="A12" s="3">
        <f t="shared" si="0"/>
        <v>6</v>
      </c>
      <c r="B12" s="20" t="s">
        <v>41</v>
      </c>
      <c r="C12" s="23">
        <v>1330</v>
      </c>
      <c r="D12" s="19" t="s">
        <v>11</v>
      </c>
      <c r="E12" s="117"/>
      <c r="F12" s="117"/>
      <c r="G12" s="117"/>
      <c r="H12" s="117"/>
      <c r="I12" s="117"/>
    </row>
    <row r="13" spans="1:9" ht="47.25" x14ac:dyDescent="0.25">
      <c r="A13" s="3">
        <f t="shared" si="0"/>
        <v>7</v>
      </c>
      <c r="B13" s="20" t="s">
        <v>42</v>
      </c>
      <c r="C13" s="23">
        <v>2</v>
      </c>
      <c r="D13" s="19" t="s">
        <v>24</v>
      </c>
      <c r="E13" s="117"/>
      <c r="F13" s="117"/>
      <c r="G13" s="117"/>
      <c r="H13" s="117"/>
      <c r="I13" s="117"/>
    </row>
    <row r="14" spans="1:9" ht="94.5" x14ac:dyDescent="0.25">
      <c r="A14" s="5">
        <f t="shared" si="0"/>
        <v>8</v>
      </c>
      <c r="B14" s="20" t="s">
        <v>43</v>
      </c>
      <c r="C14" s="23">
        <v>23000</v>
      </c>
      <c r="D14" s="19" t="s">
        <v>11</v>
      </c>
      <c r="E14" s="117"/>
      <c r="F14" s="117"/>
      <c r="G14" s="117"/>
      <c r="H14" s="117"/>
      <c r="I14" s="117"/>
    </row>
    <row r="15" spans="1:9" ht="69" customHeight="1" x14ac:dyDescent="0.25">
      <c r="A15" s="3">
        <f t="shared" si="0"/>
        <v>9</v>
      </c>
      <c r="B15" s="20" t="s">
        <v>44</v>
      </c>
      <c r="C15" s="23">
        <v>1500</v>
      </c>
      <c r="D15" s="19" t="s">
        <v>11</v>
      </c>
      <c r="E15" s="117"/>
      <c r="F15" s="117"/>
      <c r="G15" s="117"/>
      <c r="H15" s="117"/>
      <c r="I15" s="117"/>
    </row>
    <row r="16" spans="1:9" ht="47.25" x14ac:dyDescent="0.25">
      <c r="A16" s="3">
        <f t="shared" si="0"/>
        <v>10</v>
      </c>
      <c r="B16" s="20" t="s">
        <v>45</v>
      </c>
      <c r="C16" s="23">
        <v>1</v>
      </c>
      <c r="D16" s="14" t="s">
        <v>298</v>
      </c>
      <c r="E16" s="117"/>
      <c r="F16" s="117"/>
      <c r="G16" s="117"/>
      <c r="H16" s="117"/>
      <c r="I16" s="117"/>
    </row>
    <row r="17" spans="1:9" ht="94.5" x14ac:dyDescent="0.25">
      <c r="A17" s="3">
        <f t="shared" si="0"/>
        <v>11</v>
      </c>
      <c r="B17" s="20" t="s">
        <v>46</v>
      </c>
      <c r="C17" s="23">
        <v>2900</v>
      </c>
      <c r="D17" s="19" t="s">
        <v>11</v>
      </c>
      <c r="E17" s="117"/>
      <c r="F17" s="117"/>
      <c r="G17" s="117"/>
      <c r="H17" s="117"/>
      <c r="I17" s="117"/>
    </row>
    <row r="18" spans="1:9" ht="63" x14ac:dyDescent="0.25">
      <c r="A18" s="3">
        <f t="shared" si="0"/>
        <v>12</v>
      </c>
      <c r="B18" s="20" t="s">
        <v>47</v>
      </c>
      <c r="C18" s="23">
        <v>20000</v>
      </c>
      <c r="D18" s="19" t="s">
        <v>11</v>
      </c>
      <c r="E18" s="117"/>
      <c r="F18" s="117"/>
      <c r="G18" s="117"/>
      <c r="H18" s="117"/>
      <c r="I18" s="117"/>
    </row>
    <row r="19" spans="1:9" ht="32.25" thickBot="1" x14ac:dyDescent="0.3">
      <c r="A19" s="3">
        <f t="shared" si="0"/>
        <v>13</v>
      </c>
      <c r="B19" s="20" t="s">
        <v>15</v>
      </c>
      <c r="C19" s="23">
        <v>1</v>
      </c>
      <c r="D19" s="14" t="s">
        <v>298</v>
      </c>
      <c r="E19" s="117"/>
      <c r="F19" s="117"/>
      <c r="G19" s="117"/>
      <c r="H19" s="117"/>
      <c r="I19" s="117"/>
    </row>
    <row r="20" spans="1:9" ht="16.5" thickBot="1" x14ac:dyDescent="0.3">
      <c r="A20" s="397" t="s">
        <v>25</v>
      </c>
      <c r="B20" s="398"/>
      <c r="C20" s="252">
        <f>SUM(C7+C8+C9+C10+C12+C14+C15+C17+C18)</f>
        <v>126370</v>
      </c>
      <c r="D20" s="25" t="s">
        <v>11</v>
      </c>
      <c r="E20" s="137"/>
      <c r="F20" s="138"/>
      <c r="G20" s="138"/>
      <c r="H20" s="138"/>
      <c r="I20" s="139"/>
    </row>
    <row r="21" spans="1:9" ht="15.75" thickBot="1" x14ac:dyDescent="0.3">
      <c r="A21" s="86"/>
      <c r="B21" s="86"/>
      <c r="C21" s="86"/>
      <c r="D21" s="86"/>
    </row>
    <row r="22" spans="1:9" ht="16.5" thickBot="1" x14ac:dyDescent="0.3">
      <c r="A22" s="386" t="s">
        <v>825</v>
      </c>
      <c r="B22" s="395"/>
      <c r="C22" s="395"/>
      <c r="D22" s="396"/>
      <c r="E22" s="137"/>
      <c r="F22" s="138"/>
      <c r="G22" s="138"/>
      <c r="H22" s="138"/>
      <c r="I22" s="139"/>
    </row>
    <row r="23" spans="1:9" ht="31.5" x14ac:dyDescent="0.25">
      <c r="A23" s="3">
        <v>1</v>
      </c>
      <c r="B23" s="272" t="s">
        <v>48</v>
      </c>
      <c r="C23" s="88">
        <v>2</v>
      </c>
      <c r="D23" s="89" t="s">
        <v>24</v>
      </c>
      <c r="E23" s="117"/>
      <c r="F23" s="117"/>
      <c r="G23" s="117"/>
      <c r="H23" s="117"/>
      <c r="I23" s="117"/>
    </row>
    <row r="24" spans="1:9" ht="47.25" x14ac:dyDescent="0.25">
      <c r="A24" s="5">
        <f t="shared" ref="A24:A35" si="1">A23+1</f>
        <v>2</v>
      </c>
      <c r="B24" s="87" t="s">
        <v>49</v>
      </c>
      <c r="C24" s="88">
        <v>2</v>
      </c>
      <c r="D24" s="89" t="s">
        <v>24</v>
      </c>
      <c r="E24" s="117"/>
      <c r="F24" s="117"/>
      <c r="G24" s="117"/>
      <c r="H24" s="117"/>
      <c r="I24" s="117"/>
    </row>
    <row r="25" spans="1:9" ht="31.5" x14ac:dyDescent="0.25">
      <c r="A25" s="3">
        <f t="shared" si="1"/>
        <v>3</v>
      </c>
      <c r="B25" s="87" t="s">
        <v>72</v>
      </c>
      <c r="C25" s="88">
        <v>2</v>
      </c>
      <c r="D25" s="89" t="s">
        <v>24</v>
      </c>
      <c r="E25" s="117"/>
      <c r="F25" s="117"/>
      <c r="G25" s="117"/>
      <c r="H25" s="117"/>
      <c r="I25" s="117"/>
    </row>
    <row r="26" spans="1:9" ht="63" x14ac:dyDescent="0.25">
      <c r="A26" s="3">
        <f t="shared" si="1"/>
        <v>4</v>
      </c>
      <c r="B26" s="272" t="s">
        <v>51</v>
      </c>
      <c r="C26" s="88">
        <v>2</v>
      </c>
      <c r="D26" s="89" t="s">
        <v>24</v>
      </c>
      <c r="E26" s="117"/>
      <c r="F26" s="117"/>
      <c r="G26" s="117"/>
      <c r="H26" s="117"/>
      <c r="I26" s="117"/>
    </row>
    <row r="27" spans="1:9" ht="15.75" x14ac:dyDescent="0.25">
      <c r="A27" s="3">
        <f t="shared" si="1"/>
        <v>5</v>
      </c>
      <c r="B27" s="87" t="s">
        <v>52</v>
      </c>
      <c r="C27" s="88">
        <v>2</v>
      </c>
      <c r="D27" s="89" t="s">
        <v>24</v>
      </c>
      <c r="E27" s="117"/>
      <c r="F27" s="117"/>
      <c r="G27" s="117"/>
      <c r="H27" s="117"/>
      <c r="I27" s="117"/>
    </row>
    <row r="28" spans="1:9" ht="31.5" x14ac:dyDescent="0.25">
      <c r="A28" s="3">
        <f t="shared" si="1"/>
        <v>6</v>
      </c>
      <c r="B28" s="87" t="s">
        <v>53</v>
      </c>
      <c r="C28" s="88">
        <v>2</v>
      </c>
      <c r="D28" s="14" t="s">
        <v>298</v>
      </c>
      <c r="E28" s="117"/>
      <c r="F28" s="117"/>
      <c r="G28" s="117"/>
      <c r="H28" s="117"/>
      <c r="I28" s="117"/>
    </row>
    <row r="29" spans="1:9" ht="15.75" x14ac:dyDescent="0.25">
      <c r="A29" s="3">
        <f t="shared" si="1"/>
        <v>7</v>
      </c>
      <c r="B29" s="87" t="s">
        <v>54</v>
      </c>
      <c r="C29" s="88">
        <v>2</v>
      </c>
      <c r="D29" s="14" t="s">
        <v>298</v>
      </c>
      <c r="E29" s="117"/>
      <c r="F29" s="117"/>
      <c r="G29" s="117"/>
      <c r="H29" s="117"/>
      <c r="I29" s="117"/>
    </row>
    <row r="30" spans="1:9" ht="15.75" x14ac:dyDescent="0.25">
      <c r="A30" s="3">
        <f t="shared" si="1"/>
        <v>8</v>
      </c>
      <c r="B30" s="87" t="s">
        <v>37</v>
      </c>
      <c r="C30" s="88">
        <v>2</v>
      </c>
      <c r="D30" s="14" t="s">
        <v>298</v>
      </c>
      <c r="E30" s="117"/>
      <c r="F30" s="117"/>
      <c r="G30" s="117"/>
      <c r="H30" s="117"/>
      <c r="I30" s="117"/>
    </row>
    <row r="31" spans="1:9" ht="31.5" x14ac:dyDescent="0.25">
      <c r="A31" s="3">
        <f t="shared" si="1"/>
        <v>9</v>
      </c>
      <c r="B31" s="87" t="s">
        <v>271</v>
      </c>
      <c r="C31" s="88">
        <v>2</v>
      </c>
      <c r="D31" s="89" t="s">
        <v>24</v>
      </c>
      <c r="E31" s="117"/>
      <c r="F31" s="117"/>
      <c r="G31" s="117"/>
      <c r="H31" s="117"/>
      <c r="I31" s="117"/>
    </row>
    <row r="32" spans="1:9" ht="31.5" x14ac:dyDescent="0.25">
      <c r="A32" s="3">
        <f t="shared" si="1"/>
        <v>10</v>
      </c>
      <c r="B32" s="87" t="s">
        <v>55</v>
      </c>
      <c r="C32" s="88">
        <v>2</v>
      </c>
      <c r="D32" s="89" t="s">
        <v>24</v>
      </c>
      <c r="E32" s="117"/>
      <c r="F32" s="117"/>
      <c r="G32" s="117"/>
      <c r="H32" s="117"/>
      <c r="I32" s="117"/>
    </row>
    <row r="33" spans="1:9" ht="47.25" x14ac:dyDescent="0.25">
      <c r="A33" s="3">
        <f t="shared" si="1"/>
        <v>11</v>
      </c>
      <c r="B33" s="87" t="s">
        <v>59</v>
      </c>
      <c r="C33" s="88">
        <v>40</v>
      </c>
      <c r="D33" s="89" t="s">
        <v>23</v>
      </c>
      <c r="E33" s="117"/>
      <c r="F33" s="117"/>
      <c r="G33" s="117"/>
      <c r="H33" s="117"/>
      <c r="I33" s="117"/>
    </row>
    <row r="34" spans="1:9" ht="47.25" x14ac:dyDescent="0.25">
      <c r="A34" s="3">
        <f t="shared" si="1"/>
        <v>12</v>
      </c>
      <c r="B34" s="87" t="s">
        <v>57</v>
      </c>
      <c r="C34" s="88">
        <v>2</v>
      </c>
      <c r="D34" s="89" t="s">
        <v>24</v>
      </c>
      <c r="E34" s="117"/>
      <c r="F34" s="117"/>
      <c r="G34" s="117"/>
      <c r="H34" s="117"/>
      <c r="I34" s="117"/>
    </row>
    <row r="35" spans="1:9" ht="31.5" x14ac:dyDescent="0.25">
      <c r="A35" s="3">
        <f t="shared" si="1"/>
        <v>13</v>
      </c>
      <c r="B35" s="87" t="s">
        <v>58</v>
      </c>
      <c r="C35" s="88">
        <v>2</v>
      </c>
      <c r="D35" s="89" t="s">
        <v>24</v>
      </c>
      <c r="E35" s="117"/>
      <c r="F35" s="117"/>
      <c r="G35" s="117"/>
      <c r="H35" s="117"/>
      <c r="I35" s="117"/>
    </row>
    <row r="36" spans="1:9" ht="16.5" customHeight="1" thickBot="1" x14ac:dyDescent="0.3">
      <c r="A36" s="90"/>
      <c r="B36" s="90"/>
      <c r="C36" s="90"/>
      <c r="D36" s="90"/>
    </row>
    <row r="37" spans="1:9" ht="16.5" customHeight="1" thickBot="1" x14ac:dyDescent="0.3">
      <c r="A37" s="402" t="s">
        <v>826</v>
      </c>
      <c r="B37" s="403"/>
      <c r="C37" s="403"/>
      <c r="D37" s="404"/>
      <c r="E37" s="137"/>
      <c r="F37" s="138"/>
      <c r="G37" s="138"/>
      <c r="H37" s="138"/>
      <c r="I37" s="139"/>
    </row>
    <row r="38" spans="1:9" ht="63" x14ac:dyDescent="0.25">
      <c r="A38" s="5">
        <v>1</v>
      </c>
      <c r="B38" s="20" t="s">
        <v>60</v>
      </c>
      <c r="C38" s="23">
        <v>2200</v>
      </c>
      <c r="D38" s="19" t="s">
        <v>11</v>
      </c>
      <c r="E38" s="117"/>
      <c r="F38" s="117"/>
      <c r="G38" s="117"/>
      <c r="H38" s="117"/>
      <c r="I38" s="117"/>
    </row>
    <row r="39" spans="1:9" ht="144" customHeight="1" x14ac:dyDescent="0.25">
      <c r="A39" s="5">
        <f t="shared" ref="A39:A50" si="2">A38+1</f>
        <v>2</v>
      </c>
      <c r="B39" s="20" t="s">
        <v>61</v>
      </c>
      <c r="C39" s="23">
        <v>4130</v>
      </c>
      <c r="D39" s="19" t="s">
        <v>11</v>
      </c>
      <c r="E39" s="117"/>
      <c r="F39" s="117"/>
      <c r="G39" s="117"/>
      <c r="H39" s="117"/>
      <c r="I39" s="117"/>
    </row>
    <row r="40" spans="1:9" ht="78.75" x14ac:dyDescent="0.25">
      <c r="A40" s="3">
        <f t="shared" si="2"/>
        <v>3</v>
      </c>
      <c r="B40" s="20" t="s">
        <v>62</v>
      </c>
      <c r="C40" s="23">
        <v>1840</v>
      </c>
      <c r="D40" s="19" t="s">
        <v>11</v>
      </c>
      <c r="E40" s="117"/>
      <c r="F40" s="117"/>
      <c r="G40" s="117"/>
      <c r="H40" s="117"/>
      <c r="I40" s="117"/>
    </row>
    <row r="41" spans="1:9" ht="194.25" customHeight="1" x14ac:dyDescent="0.25">
      <c r="A41" s="3">
        <f t="shared" si="2"/>
        <v>4</v>
      </c>
      <c r="B41" s="20" t="s">
        <v>63</v>
      </c>
      <c r="C41" s="23">
        <v>85000</v>
      </c>
      <c r="D41" s="19" t="s">
        <v>11</v>
      </c>
      <c r="E41" s="117"/>
      <c r="F41" s="117"/>
      <c r="G41" s="117"/>
      <c r="H41" s="117"/>
      <c r="I41" s="117"/>
    </row>
    <row r="42" spans="1:9" ht="86.25" customHeight="1" x14ac:dyDescent="0.25">
      <c r="A42" s="5">
        <f t="shared" si="2"/>
        <v>5</v>
      </c>
      <c r="B42" s="20" t="s">
        <v>64</v>
      </c>
      <c r="C42" s="23">
        <v>68</v>
      </c>
      <c r="D42" s="19" t="s">
        <v>23</v>
      </c>
      <c r="E42" s="117"/>
      <c r="F42" s="117"/>
      <c r="G42" s="117"/>
      <c r="H42" s="117"/>
      <c r="I42" s="117"/>
    </row>
    <row r="43" spans="1:9" ht="80.25" customHeight="1" x14ac:dyDescent="0.25">
      <c r="A43" s="3">
        <f t="shared" si="2"/>
        <v>6</v>
      </c>
      <c r="B43" s="20" t="s">
        <v>41</v>
      </c>
      <c r="C43" s="23">
        <v>1400</v>
      </c>
      <c r="D43" s="19" t="s">
        <v>11</v>
      </c>
      <c r="E43" s="117"/>
      <c r="F43" s="117"/>
      <c r="G43" s="117"/>
      <c r="H43" s="117"/>
      <c r="I43" s="117"/>
    </row>
    <row r="44" spans="1:9" ht="47.25" x14ac:dyDescent="0.25">
      <c r="A44" s="3">
        <f t="shared" si="2"/>
        <v>7</v>
      </c>
      <c r="B44" s="20" t="s">
        <v>42</v>
      </c>
      <c r="C44" s="23">
        <v>2</v>
      </c>
      <c r="D44" s="19" t="s">
        <v>24</v>
      </c>
      <c r="E44" s="117"/>
      <c r="F44" s="117"/>
      <c r="G44" s="117"/>
      <c r="H44" s="117"/>
      <c r="I44" s="117"/>
    </row>
    <row r="45" spans="1:9" ht="94.5" x14ac:dyDescent="0.25">
      <c r="A45" s="3">
        <f t="shared" si="2"/>
        <v>8</v>
      </c>
      <c r="B45" s="20" t="s">
        <v>65</v>
      </c>
      <c r="C45" s="23">
        <v>23000</v>
      </c>
      <c r="D45" s="19" t="s">
        <v>11</v>
      </c>
      <c r="E45" s="117"/>
      <c r="F45" s="117"/>
      <c r="G45" s="117"/>
      <c r="H45" s="117"/>
      <c r="I45" s="117"/>
    </row>
    <row r="46" spans="1:9" ht="63" x14ac:dyDescent="0.25">
      <c r="A46" s="3">
        <f t="shared" si="2"/>
        <v>9</v>
      </c>
      <c r="B46" s="20" t="s">
        <v>66</v>
      </c>
      <c r="C46" s="23">
        <v>1500</v>
      </c>
      <c r="D46" s="19" t="s">
        <v>11</v>
      </c>
      <c r="E46" s="117"/>
      <c r="F46" s="117"/>
      <c r="G46" s="117"/>
      <c r="H46" s="117"/>
      <c r="I46" s="117"/>
    </row>
    <row r="47" spans="1:9" ht="51" customHeight="1" x14ac:dyDescent="0.25">
      <c r="A47" s="3">
        <f t="shared" si="2"/>
        <v>10</v>
      </c>
      <c r="B47" s="20" t="s">
        <v>67</v>
      </c>
      <c r="C47" s="23">
        <v>1</v>
      </c>
      <c r="D47" s="14" t="s">
        <v>298</v>
      </c>
      <c r="E47" s="117"/>
      <c r="F47" s="117"/>
      <c r="G47" s="117"/>
      <c r="H47" s="117"/>
      <c r="I47" s="117"/>
    </row>
    <row r="48" spans="1:9" ht="78.75" x14ac:dyDescent="0.25">
      <c r="A48" s="3">
        <f t="shared" si="2"/>
        <v>11</v>
      </c>
      <c r="B48" s="20" t="s">
        <v>69</v>
      </c>
      <c r="C48" s="23">
        <v>2900</v>
      </c>
      <c r="D48" s="19" t="s">
        <v>11</v>
      </c>
      <c r="E48" s="117"/>
      <c r="F48" s="117"/>
      <c r="G48" s="117"/>
      <c r="H48" s="117"/>
      <c r="I48" s="117"/>
    </row>
    <row r="49" spans="1:9" ht="63" x14ac:dyDescent="0.25">
      <c r="A49" s="5">
        <f t="shared" si="2"/>
        <v>12</v>
      </c>
      <c r="B49" s="20" t="s">
        <v>68</v>
      </c>
      <c r="C49" s="23">
        <v>20000</v>
      </c>
      <c r="D49" s="19" t="s">
        <v>11</v>
      </c>
      <c r="E49" s="117"/>
      <c r="F49" s="117"/>
      <c r="G49" s="117"/>
      <c r="H49" s="117"/>
      <c r="I49" s="117"/>
    </row>
    <row r="50" spans="1:9" ht="32.25" thickBot="1" x14ac:dyDescent="0.3">
      <c r="A50" s="3">
        <f t="shared" si="2"/>
        <v>13</v>
      </c>
      <c r="B50" s="20" t="s">
        <v>15</v>
      </c>
      <c r="C50" s="23">
        <v>1</v>
      </c>
      <c r="D50" s="19" t="s">
        <v>13</v>
      </c>
      <c r="E50" s="117"/>
      <c r="F50" s="117"/>
      <c r="G50" s="117"/>
      <c r="H50" s="117"/>
      <c r="I50" s="117"/>
    </row>
    <row r="51" spans="1:9" ht="16.5" thickBot="1" x14ac:dyDescent="0.3">
      <c r="A51" s="397" t="s">
        <v>25</v>
      </c>
      <c r="B51" s="398"/>
      <c r="C51" s="252">
        <f>SUM(C38+C39+C40+C41+C43+C45+C46+C48+C49)</f>
        <v>141970</v>
      </c>
      <c r="D51" s="25" t="s">
        <v>11</v>
      </c>
      <c r="E51" s="137"/>
      <c r="F51" s="138"/>
      <c r="G51" s="138"/>
      <c r="H51" s="138"/>
      <c r="I51" s="139"/>
    </row>
    <row r="52" spans="1:9" ht="15.75" thickBot="1" x14ac:dyDescent="0.3">
      <c r="A52" s="90"/>
      <c r="B52" s="90"/>
      <c r="C52" s="90"/>
      <c r="D52" s="90"/>
    </row>
    <row r="53" spans="1:9" ht="16.5" thickBot="1" x14ac:dyDescent="0.3">
      <c r="A53" s="386" t="s">
        <v>827</v>
      </c>
      <c r="B53" s="395"/>
      <c r="C53" s="395"/>
      <c r="D53" s="396"/>
      <c r="E53" s="137"/>
      <c r="F53" s="138"/>
      <c r="G53" s="138"/>
      <c r="H53" s="138"/>
      <c r="I53" s="139"/>
    </row>
    <row r="54" spans="1:9" ht="31.5" x14ac:dyDescent="0.25">
      <c r="A54" s="3">
        <v>1</v>
      </c>
      <c r="B54" s="271" t="s">
        <v>48</v>
      </c>
      <c r="C54" s="23">
        <v>2</v>
      </c>
      <c r="D54" s="19" t="s">
        <v>24</v>
      </c>
      <c r="E54" s="117"/>
      <c r="F54" s="117"/>
      <c r="G54" s="117"/>
      <c r="H54" s="117"/>
      <c r="I54" s="117"/>
    </row>
    <row r="55" spans="1:9" ht="31.5" x14ac:dyDescent="0.25">
      <c r="A55" s="3">
        <f t="shared" ref="A55:A66" si="3">A54+1</f>
        <v>2</v>
      </c>
      <c r="B55" s="20" t="s">
        <v>71</v>
      </c>
      <c r="C55" s="23">
        <v>2</v>
      </c>
      <c r="D55" s="19" t="s">
        <v>24</v>
      </c>
      <c r="E55" s="117"/>
      <c r="F55" s="117"/>
      <c r="G55" s="117"/>
      <c r="H55" s="117"/>
      <c r="I55" s="117"/>
    </row>
    <row r="56" spans="1:9" ht="31.5" x14ac:dyDescent="0.25">
      <c r="A56" s="3">
        <f t="shared" si="3"/>
        <v>3</v>
      </c>
      <c r="B56" s="20" t="s">
        <v>72</v>
      </c>
      <c r="C56" s="23">
        <v>2</v>
      </c>
      <c r="D56" s="19" t="s">
        <v>24</v>
      </c>
      <c r="E56" s="117"/>
      <c r="F56" s="117"/>
      <c r="G56" s="117"/>
      <c r="H56" s="117"/>
      <c r="I56" s="117"/>
    </row>
    <row r="57" spans="1:9" ht="63" x14ac:dyDescent="0.25">
      <c r="A57" s="3">
        <f t="shared" si="3"/>
        <v>4</v>
      </c>
      <c r="B57" s="271" t="s">
        <v>70</v>
      </c>
      <c r="C57" s="23">
        <v>2</v>
      </c>
      <c r="D57" s="19" t="s">
        <v>24</v>
      </c>
      <c r="E57" s="117"/>
      <c r="F57" s="117"/>
      <c r="G57" s="117"/>
      <c r="H57" s="117"/>
      <c r="I57" s="117"/>
    </row>
    <row r="58" spans="1:9" ht="15.75" x14ac:dyDescent="0.25">
      <c r="A58" s="3">
        <f t="shared" si="3"/>
        <v>5</v>
      </c>
      <c r="B58" s="20" t="s">
        <v>52</v>
      </c>
      <c r="C58" s="23">
        <v>2</v>
      </c>
      <c r="D58" s="19" t="s">
        <v>24</v>
      </c>
      <c r="E58" s="117"/>
      <c r="F58" s="117"/>
      <c r="G58" s="117"/>
      <c r="H58" s="117"/>
      <c r="I58" s="117"/>
    </row>
    <row r="59" spans="1:9" ht="31.5" x14ac:dyDescent="0.25">
      <c r="A59" s="3">
        <f t="shared" si="3"/>
        <v>6</v>
      </c>
      <c r="B59" s="20" t="s">
        <v>53</v>
      </c>
      <c r="C59" s="23">
        <v>2</v>
      </c>
      <c r="D59" s="14" t="s">
        <v>298</v>
      </c>
      <c r="E59" s="117"/>
      <c r="F59" s="117"/>
      <c r="G59" s="117"/>
      <c r="H59" s="117"/>
      <c r="I59" s="117"/>
    </row>
    <row r="60" spans="1:9" ht="15.75" x14ac:dyDescent="0.25">
      <c r="A60" s="3">
        <f t="shared" si="3"/>
        <v>7</v>
      </c>
      <c r="B60" s="20" t="s">
        <v>54</v>
      </c>
      <c r="C60" s="23">
        <v>2</v>
      </c>
      <c r="D60" s="14" t="s">
        <v>298</v>
      </c>
      <c r="E60" s="117"/>
      <c r="F60" s="117"/>
      <c r="G60" s="117"/>
      <c r="H60" s="117"/>
      <c r="I60" s="117"/>
    </row>
    <row r="61" spans="1:9" ht="15.75" x14ac:dyDescent="0.25">
      <c r="A61" s="3">
        <f t="shared" si="3"/>
        <v>8</v>
      </c>
      <c r="B61" s="20" t="s">
        <v>37</v>
      </c>
      <c r="C61" s="23">
        <v>2</v>
      </c>
      <c r="D61" s="14" t="s">
        <v>298</v>
      </c>
      <c r="E61" s="117"/>
      <c r="F61" s="117"/>
      <c r="G61" s="117"/>
      <c r="H61" s="117"/>
      <c r="I61" s="117"/>
    </row>
    <row r="62" spans="1:9" ht="31.5" x14ac:dyDescent="0.25">
      <c r="A62" s="3">
        <f t="shared" si="3"/>
        <v>9</v>
      </c>
      <c r="B62" s="20" t="s">
        <v>38</v>
      </c>
      <c r="C62" s="23">
        <v>2</v>
      </c>
      <c r="D62" s="19" t="s">
        <v>24</v>
      </c>
      <c r="E62" s="117"/>
      <c r="F62" s="117"/>
      <c r="G62" s="117"/>
      <c r="H62" s="117"/>
      <c r="I62" s="117"/>
    </row>
    <row r="63" spans="1:9" ht="31.5" x14ac:dyDescent="0.25">
      <c r="A63" s="3">
        <f t="shared" si="3"/>
        <v>10</v>
      </c>
      <c r="B63" s="20" t="s">
        <v>55</v>
      </c>
      <c r="C63" s="23">
        <v>2</v>
      </c>
      <c r="D63" s="19" t="s">
        <v>24</v>
      </c>
      <c r="E63" s="117"/>
      <c r="F63" s="117"/>
      <c r="G63" s="117"/>
      <c r="H63" s="117"/>
      <c r="I63" s="117"/>
    </row>
    <row r="64" spans="1:9" ht="58.5" customHeight="1" x14ac:dyDescent="0.25">
      <c r="A64" s="3">
        <f t="shared" si="3"/>
        <v>11</v>
      </c>
      <c r="B64" s="20" t="s">
        <v>59</v>
      </c>
      <c r="C64" s="23">
        <v>40</v>
      </c>
      <c r="D64" s="19" t="s">
        <v>23</v>
      </c>
      <c r="E64" s="117"/>
      <c r="F64" s="117"/>
      <c r="G64" s="117"/>
      <c r="H64" s="117"/>
      <c r="I64" s="117"/>
    </row>
    <row r="65" spans="1:9" ht="71.25" customHeight="1" x14ac:dyDescent="0.25">
      <c r="A65" s="5">
        <f t="shared" si="3"/>
        <v>12</v>
      </c>
      <c r="B65" s="20" t="s">
        <v>57</v>
      </c>
      <c r="C65" s="23">
        <v>2</v>
      </c>
      <c r="D65" s="19" t="s">
        <v>24</v>
      </c>
      <c r="E65" s="117"/>
      <c r="F65" s="117"/>
      <c r="G65" s="117"/>
      <c r="H65" s="117"/>
      <c r="I65" s="117"/>
    </row>
    <row r="66" spans="1:9" ht="43.5" customHeight="1" thickBot="1" x14ac:dyDescent="0.3">
      <c r="A66" s="3">
        <f t="shared" si="3"/>
        <v>13</v>
      </c>
      <c r="B66" s="20" t="s">
        <v>58</v>
      </c>
      <c r="C66" s="23">
        <v>2</v>
      </c>
      <c r="D66" s="19" t="s">
        <v>24</v>
      </c>
      <c r="E66" s="117"/>
      <c r="F66" s="117"/>
      <c r="G66" s="117"/>
      <c r="H66" s="117"/>
      <c r="I66" s="117"/>
    </row>
    <row r="67" spans="1:9" ht="16.5" thickBot="1" x14ac:dyDescent="0.3">
      <c r="A67" s="386" t="s">
        <v>828</v>
      </c>
      <c r="B67" s="395"/>
      <c r="C67" s="395"/>
      <c r="D67" s="396"/>
      <c r="E67" s="137"/>
      <c r="F67" s="138"/>
      <c r="G67" s="138"/>
      <c r="H67" s="138"/>
      <c r="I67" s="139"/>
    </row>
    <row r="68" spans="1:9" ht="63" x14ac:dyDescent="0.25">
      <c r="A68" s="3">
        <v>1</v>
      </c>
      <c r="B68" s="20" t="s">
        <v>73</v>
      </c>
      <c r="C68" s="23">
        <v>2380</v>
      </c>
      <c r="D68" s="19" t="s">
        <v>11</v>
      </c>
      <c r="E68" s="117"/>
      <c r="F68" s="117"/>
      <c r="G68" s="117"/>
      <c r="H68" s="117"/>
      <c r="I68" s="117"/>
    </row>
    <row r="69" spans="1:9" ht="147" customHeight="1" x14ac:dyDescent="0.25">
      <c r="A69" s="5">
        <f t="shared" ref="A69:A80" si="4">A68+1</f>
        <v>2</v>
      </c>
      <c r="B69" s="20" t="s">
        <v>74</v>
      </c>
      <c r="C69" s="23">
        <v>4500</v>
      </c>
      <c r="D69" s="19" t="s">
        <v>11</v>
      </c>
      <c r="E69" s="117"/>
      <c r="F69" s="117"/>
      <c r="G69" s="117"/>
      <c r="H69" s="117"/>
      <c r="I69" s="117"/>
    </row>
    <row r="70" spans="1:9" ht="78.75" x14ac:dyDescent="0.25">
      <c r="A70" s="3">
        <f t="shared" si="4"/>
        <v>3</v>
      </c>
      <c r="B70" s="20" t="s">
        <v>75</v>
      </c>
      <c r="C70" s="23">
        <v>2050</v>
      </c>
      <c r="D70" s="19" t="s">
        <v>11</v>
      </c>
      <c r="E70" s="117"/>
      <c r="F70" s="117"/>
      <c r="G70" s="117"/>
      <c r="H70" s="117"/>
      <c r="I70" s="117"/>
    </row>
    <row r="71" spans="1:9" ht="194.25" customHeight="1" x14ac:dyDescent="0.25">
      <c r="A71" s="5">
        <f t="shared" si="4"/>
        <v>4</v>
      </c>
      <c r="B71" s="20" t="s">
        <v>76</v>
      </c>
      <c r="C71" s="23">
        <v>110000</v>
      </c>
      <c r="D71" s="19" t="s">
        <v>11</v>
      </c>
      <c r="E71" s="117"/>
      <c r="F71" s="117"/>
      <c r="G71" s="117"/>
      <c r="H71" s="117"/>
      <c r="I71" s="117"/>
    </row>
    <row r="72" spans="1:9" ht="78.75" x14ac:dyDescent="0.25">
      <c r="A72" s="3">
        <f t="shared" si="4"/>
        <v>5</v>
      </c>
      <c r="B72" s="20" t="s">
        <v>77</v>
      </c>
      <c r="C72" s="23">
        <v>90</v>
      </c>
      <c r="D72" s="19" t="s">
        <v>23</v>
      </c>
      <c r="E72" s="117"/>
      <c r="F72" s="117"/>
      <c r="G72" s="117"/>
      <c r="H72" s="117"/>
      <c r="I72" s="117"/>
    </row>
    <row r="73" spans="1:9" ht="69.75" customHeight="1" x14ac:dyDescent="0.25">
      <c r="A73" s="3">
        <f t="shared" si="4"/>
        <v>6</v>
      </c>
      <c r="B73" s="20" t="s">
        <v>41</v>
      </c>
      <c r="C73" s="23">
        <v>1780</v>
      </c>
      <c r="D73" s="19" t="s">
        <v>11</v>
      </c>
      <c r="E73" s="117"/>
      <c r="F73" s="117"/>
      <c r="G73" s="117"/>
      <c r="H73" s="117"/>
      <c r="I73" s="117"/>
    </row>
    <row r="74" spans="1:9" ht="57" customHeight="1" x14ac:dyDescent="0.25">
      <c r="A74" s="3">
        <f t="shared" si="4"/>
        <v>7</v>
      </c>
      <c r="B74" s="20" t="s">
        <v>78</v>
      </c>
      <c r="C74" s="23">
        <v>2</v>
      </c>
      <c r="D74" s="19" t="s">
        <v>24</v>
      </c>
      <c r="E74" s="117"/>
      <c r="F74" s="117"/>
      <c r="G74" s="117"/>
      <c r="H74" s="117"/>
      <c r="I74" s="117"/>
    </row>
    <row r="75" spans="1:9" ht="94.5" x14ac:dyDescent="0.25">
      <c r="A75" s="3">
        <f t="shared" si="4"/>
        <v>8</v>
      </c>
      <c r="B75" s="20" t="s">
        <v>79</v>
      </c>
      <c r="C75" s="23">
        <v>23000</v>
      </c>
      <c r="D75" s="19" t="s">
        <v>11</v>
      </c>
      <c r="E75" s="117"/>
      <c r="F75" s="117"/>
      <c r="G75" s="117"/>
      <c r="H75" s="117"/>
      <c r="I75" s="117"/>
    </row>
    <row r="76" spans="1:9" ht="63" x14ac:dyDescent="0.25">
      <c r="A76" s="5">
        <f t="shared" si="4"/>
        <v>9</v>
      </c>
      <c r="B76" s="20" t="s">
        <v>80</v>
      </c>
      <c r="C76" s="23">
        <v>1500</v>
      </c>
      <c r="D76" s="19" t="s">
        <v>11</v>
      </c>
      <c r="E76" s="117"/>
      <c r="F76" s="117"/>
      <c r="G76" s="117"/>
      <c r="H76" s="117"/>
      <c r="I76" s="117"/>
    </row>
    <row r="77" spans="1:9" ht="47.25" x14ac:dyDescent="0.25">
      <c r="A77" s="3">
        <f t="shared" si="4"/>
        <v>10</v>
      </c>
      <c r="B77" s="20" t="s">
        <v>81</v>
      </c>
      <c r="C77" s="23">
        <v>1</v>
      </c>
      <c r="D77" s="14" t="s">
        <v>298</v>
      </c>
      <c r="E77" s="117"/>
      <c r="F77" s="117"/>
      <c r="G77" s="117"/>
      <c r="H77" s="117"/>
      <c r="I77" s="117"/>
    </row>
    <row r="78" spans="1:9" ht="78.75" x14ac:dyDescent="0.25">
      <c r="A78" s="3">
        <f t="shared" si="4"/>
        <v>11</v>
      </c>
      <c r="B78" s="20" t="s">
        <v>82</v>
      </c>
      <c r="C78" s="23">
        <v>2900</v>
      </c>
      <c r="D78" s="19" t="s">
        <v>11</v>
      </c>
      <c r="E78" s="117"/>
      <c r="F78" s="117"/>
      <c r="G78" s="117"/>
      <c r="H78" s="117"/>
      <c r="I78" s="117"/>
    </row>
    <row r="79" spans="1:9" ht="63" x14ac:dyDescent="0.25">
      <c r="A79" s="5">
        <f t="shared" si="4"/>
        <v>12</v>
      </c>
      <c r="B79" s="20" t="s">
        <v>68</v>
      </c>
      <c r="C79" s="23">
        <v>26000</v>
      </c>
      <c r="D79" s="19" t="s">
        <v>11</v>
      </c>
      <c r="E79" s="117"/>
      <c r="F79" s="117"/>
      <c r="G79" s="117"/>
      <c r="H79" s="117"/>
      <c r="I79" s="117"/>
    </row>
    <row r="80" spans="1:9" ht="32.25" thickBot="1" x14ac:dyDescent="0.3">
      <c r="A80" s="220">
        <f t="shared" si="4"/>
        <v>13</v>
      </c>
      <c r="B80" s="20" t="s">
        <v>15</v>
      </c>
      <c r="C80" s="23">
        <v>1</v>
      </c>
      <c r="D80" s="236" t="s">
        <v>298</v>
      </c>
      <c r="E80" s="117"/>
      <c r="F80" s="117"/>
      <c r="G80" s="117"/>
      <c r="H80" s="117"/>
      <c r="I80" s="117"/>
    </row>
    <row r="81" spans="1:9" ht="16.5" thickBot="1" x14ac:dyDescent="0.3">
      <c r="A81" s="397" t="s">
        <v>25</v>
      </c>
      <c r="B81" s="398"/>
      <c r="C81" s="252">
        <f>SUM(C68+C69+C70+C71+C73+C75+C76+C78+C79)</f>
        <v>174110</v>
      </c>
      <c r="D81" s="25" t="s">
        <v>11</v>
      </c>
      <c r="E81" s="137"/>
      <c r="F81" s="138"/>
      <c r="G81" s="138"/>
      <c r="H81" s="138"/>
      <c r="I81" s="139"/>
    </row>
    <row r="82" spans="1:9" ht="16.5" thickBot="1" x14ac:dyDescent="0.3">
      <c r="A82" s="251"/>
      <c r="B82" s="252"/>
      <c r="C82" s="252"/>
      <c r="D82" s="252"/>
      <c r="E82" s="252"/>
      <c r="F82" s="252"/>
      <c r="G82" s="252"/>
      <c r="H82" s="252"/>
      <c r="I82" s="252"/>
    </row>
    <row r="83" spans="1:9" ht="16.5" thickBot="1" x14ac:dyDescent="0.3">
      <c r="A83" s="386" t="s">
        <v>829</v>
      </c>
      <c r="B83" s="395"/>
      <c r="C83" s="395"/>
      <c r="D83" s="396"/>
      <c r="E83" s="137"/>
      <c r="F83" s="138"/>
      <c r="G83" s="138"/>
      <c r="H83" s="138"/>
      <c r="I83" s="139"/>
    </row>
    <row r="84" spans="1:9" ht="31.5" x14ac:dyDescent="0.25">
      <c r="A84" s="3">
        <v>1</v>
      </c>
      <c r="B84" s="271" t="s">
        <v>48</v>
      </c>
      <c r="C84" s="23">
        <v>2</v>
      </c>
      <c r="D84" s="19" t="s">
        <v>24</v>
      </c>
      <c r="E84" s="117"/>
      <c r="F84" s="117"/>
      <c r="G84" s="117"/>
      <c r="H84" s="117"/>
      <c r="I84" s="117"/>
    </row>
    <row r="85" spans="1:9" ht="31.5" x14ac:dyDescent="0.25">
      <c r="A85" s="3">
        <f t="shared" ref="A85:A96" si="5">A84+1</f>
        <v>2</v>
      </c>
      <c r="B85" s="20" t="s">
        <v>71</v>
      </c>
      <c r="C85" s="23">
        <v>2</v>
      </c>
      <c r="D85" s="19" t="s">
        <v>24</v>
      </c>
      <c r="E85" s="117"/>
      <c r="F85" s="117"/>
      <c r="G85" s="117"/>
      <c r="H85" s="117"/>
      <c r="I85" s="117"/>
    </row>
    <row r="86" spans="1:9" ht="31.5" x14ac:dyDescent="0.25">
      <c r="A86" s="3">
        <f t="shared" si="5"/>
        <v>3</v>
      </c>
      <c r="B86" s="20" t="s">
        <v>72</v>
      </c>
      <c r="C86" s="23">
        <v>2</v>
      </c>
      <c r="D86" s="19" t="s">
        <v>24</v>
      </c>
      <c r="E86" s="117"/>
      <c r="F86" s="117"/>
      <c r="G86" s="117"/>
      <c r="H86" s="117"/>
      <c r="I86" s="117"/>
    </row>
    <row r="87" spans="1:9" ht="63" x14ac:dyDescent="0.25">
      <c r="A87" s="3">
        <f t="shared" si="5"/>
        <v>4</v>
      </c>
      <c r="B87" s="271" t="s">
        <v>70</v>
      </c>
      <c r="C87" s="23">
        <v>2</v>
      </c>
      <c r="D87" s="19" t="s">
        <v>24</v>
      </c>
      <c r="E87" s="117"/>
      <c r="F87" s="117"/>
      <c r="G87" s="117"/>
      <c r="H87" s="117"/>
      <c r="I87" s="117"/>
    </row>
    <row r="88" spans="1:9" ht="15.75" x14ac:dyDescent="0.25">
      <c r="A88" s="5">
        <f t="shared" si="5"/>
        <v>5</v>
      </c>
      <c r="B88" s="20" t="s">
        <v>52</v>
      </c>
      <c r="C88" s="23">
        <v>2</v>
      </c>
      <c r="D88" s="19" t="s">
        <v>24</v>
      </c>
      <c r="E88" s="117"/>
      <c r="F88" s="117"/>
      <c r="G88" s="117"/>
      <c r="H88" s="117"/>
      <c r="I88" s="117"/>
    </row>
    <row r="89" spans="1:9" ht="31.5" x14ac:dyDescent="0.25">
      <c r="A89" s="3">
        <f t="shared" si="5"/>
        <v>6</v>
      </c>
      <c r="B89" s="20" t="s">
        <v>53</v>
      </c>
      <c r="C89" s="23">
        <v>2</v>
      </c>
      <c r="D89" s="14" t="s">
        <v>298</v>
      </c>
      <c r="E89" s="117"/>
      <c r="F89" s="117"/>
      <c r="G89" s="117"/>
      <c r="H89" s="117"/>
      <c r="I89" s="117"/>
    </row>
    <row r="90" spans="1:9" ht="15.75" x14ac:dyDescent="0.25">
      <c r="A90" s="3">
        <f t="shared" si="5"/>
        <v>7</v>
      </c>
      <c r="B90" s="20" t="s">
        <v>54</v>
      </c>
      <c r="C90" s="23">
        <v>2</v>
      </c>
      <c r="D90" s="14" t="s">
        <v>298</v>
      </c>
      <c r="E90" s="117"/>
      <c r="F90" s="117"/>
      <c r="G90" s="117"/>
      <c r="H90" s="117"/>
      <c r="I90" s="117"/>
    </row>
    <row r="91" spans="1:9" ht="15.75" x14ac:dyDescent="0.25">
      <c r="A91" s="3">
        <f t="shared" si="5"/>
        <v>8</v>
      </c>
      <c r="B91" s="20" t="s">
        <v>37</v>
      </c>
      <c r="C91" s="23">
        <v>2</v>
      </c>
      <c r="D91" s="14" t="s">
        <v>298</v>
      </c>
      <c r="E91" s="117"/>
      <c r="F91" s="117"/>
      <c r="G91" s="117"/>
      <c r="H91" s="117"/>
      <c r="I91" s="117"/>
    </row>
    <row r="92" spans="1:9" ht="31.5" x14ac:dyDescent="0.25">
      <c r="A92" s="3">
        <f t="shared" si="5"/>
        <v>9</v>
      </c>
      <c r="B92" s="20" t="s">
        <v>83</v>
      </c>
      <c r="C92" s="23">
        <v>2</v>
      </c>
      <c r="D92" s="19" t="s">
        <v>24</v>
      </c>
      <c r="E92" s="117"/>
      <c r="F92" s="117"/>
      <c r="G92" s="117"/>
      <c r="H92" s="117"/>
      <c r="I92" s="117"/>
    </row>
    <row r="93" spans="1:9" ht="31.5" x14ac:dyDescent="0.25">
      <c r="A93" s="3">
        <f t="shared" si="5"/>
        <v>10</v>
      </c>
      <c r="B93" s="20" t="s">
        <v>55</v>
      </c>
      <c r="C93" s="23">
        <v>2</v>
      </c>
      <c r="D93" s="19" t="s">
        <v>24</v>
      </c>
      <c r="E93" s="117"/>
      <c r="F93" s="117"/>
      <c r="G93" s="117"/>
      <c r="H93" s="117"/>
      <c r="I93" s="117"/>
    </row>
    <row r="94" spans="1:9" ht="47.25" x14ac:dyDescent="0.25">
      <c r="A94" s="3">
        <f t="shared" si="5"/>
        <v>11</v>
      </c>
      <c r="B94" s="20" t="s">
        <v>59</v>
      </c>
      <c r="C94" s="23">
        <v>40</v>
      </c>
      <c r="D94" s="19" t="s">
        <v>23</v>
      </c>
      <c r="E94" s="117"/>
      <c r="F94" s="117"/>
      <c r="G94" s="117"/>
      <c r="H94" s="117"/>
      <c r="I94" s="117"/>
    </row>
    <row r="95" spans="1:9" ht="47.25" x14ac:dyDescent="0.25">
      <c r="A95" s="5">
        <f t="shared" si="5"/>
        <v>12</v>
      </c>
      <c r="B95" s="20" t="s">
        <v>57</v>
      </c>
      <c r="C95" s="23">
        <v>2</v>
      </c>
      <c r="D95" s="19" t="s">
        <v>24</v>
      </c>
      <c r="E95" s="117"/>
      <c r="F95" s="117"/>
      <c r="G95" s="117"/>
      <c r="H95" s="117"/>
      <c r="I95" s="117"/>
    </row>
    <row r="96" spans="1:9" ht="32.25" thickBot="1" x14ac:dyDescent="0.3">
      <c r="A96" s="220">
        <f t="shared" si="5"/>
        <v>13</v>
      </c>
      <c r="B96" s="20" t="s">
        <v>58</v>
      </c>
      <c r="C96" s="23">
        <v>2</v>
      </c>
      <c r="D96" s="19" t="s">
        <v>24</v>
      </c>
      <c r="E96" s="117"/>
      <c r="F96" s="117"/>
      <c r="G96" s="117"/>
      <c r="H96" s="117"/>
      <c r="I96" s="117"/>
    </row>
    <row r="97" spans="1:9" ht="16.5" thickBot="1" x14ac:dyDescent="0.3">
      <c r="A97" s="253"/>
      <c r="B97" s="106"/>
      <c r="C97" s="255"/>
      <c r="D97" s="100"/>
      <c r="E97" s="166"/>
      <c r="F97" s="166"/>
      <c r="G97" s="166"/>
      <c r="H97" s="166"/>
      <c r="I97" s="166"/>
    </row>
    <row r="98" spans="1:9" ht="15.75" customHeight="1" thickBot="1" x14ac:dyDescent="0.3">
      <c r="A98" s="386" t="s">
        <v>830</v>
      </c>
      <c r="B98" s="395"/>
      <c r="C98" s="395"/>
      <c r="D98" s="396"/>
      <c r="E98" s="137"/>
      <c r="F98" s="138"/>
      <c r="G98" s="138"/>
      <c r="H98" s="138"/>
      <c r="I98" s="139"/>
    </row>
    <row r="99" spans="1:9" ht="110.25" x14ac:dyDescent="0.25">
      <c r="A99" s="3">
        <v>1</v>
      </c>
      <c r="B99" s="20" t="s">
        <v>88</v>
      </c>
      <c r="C99" s="23">
        <v>6060</v>
      </c>
      <c r="D99" s="19" t="s">
        <v>11</v>
      </c>
      <c r="E99" s="117"/>
      <c r="F99" s="117"/>
      <c r="G99" s="117"/>
      <c r="H99" s="117"/>
      <c r="I99" s="117"/>
    </row>
    <row r="100" spans="1:9" ht="126" x14ac:dyDescent="0.25">
      <c r="A100" s="5">
        <f t="shared" ref="A100:A107" si="6">A99+1</f>
        <v>2</v>
      </c>
      <c r="B100" s="20" t="s">
        <v>84</v>
      </c>
      <c r="C100" s="23">
        <v>30300</v>
      </c>
      <c r="D100" s="19" t="s">
        <v>11</v>
      </c>
      <c r="E100" s="117"/>
      <c r="F100" s="117"/>
      <c r="G100" s="117"/>
      <c r="H100" s="117"/>
      <c r="I100" s="117"/>
    </row>
    <row r="101" spans="1:9" ht="94.5" x14ac:dyDescent="0.25">
      <c r="A101" s="3">
        <f t="shared" si="6"/>
        <v>3</v>
      </c>
      <c r="B101" s="271" t="s">
        <v>89</v>
      </c>
      <c r="C101" s="23">
        <v>9780</v>
      </c>
      <c r="D101" s="19" t="s">
        <v>11</v>
      </c>
      <c r="E101" s="117"/>
      <c r="F101" s="117"/>
      <c r="G101" s="117"/>
      <c r="H101" s="117"/>
      <c r="I101" s="117"/>
    </row>
    <row r="102" spans="1:9" ht="63" x14ac:dyDescent="0.25">
      <c r="A102" s="3">
        <f t="shared" si="6"/>
        <v>4</v>
      </c>
      <c r="B102" s="20" t="s">
        <v>90</v>
      </c>
      <c r="C102" s="23">
        <v>1500</v>
      </c>
      <c r="D102" s="19" t="s">
        <v>11</v>
      </c>
      <c r="E102" s="117"/>
      <c r="F102" s="117"/>
      <c r="G102" s="117"/>
      <c r="H102" s="117"/>
      <c r="I102" s="117"/>
    </row>
    <row r="103" spans="1:9" ht="81" customHeight="1" x14ac:dyDescent="0.25">
      <c r="A103" s="5">
        <f t="shared" si="6"/>
        <v>5</v>
      </c>
      <c r="B103" s="20" t="s">
        <v>91</v>
      </c>
      <c r="C103" s="23">
        <v>108</v>
      </c>
      <c r="D103" s="19" t="s">
        <v>23</v>
      </c>
      <c r="E103" s="117"/>
      <c r="F103" s="117"/>
      <c r="G103" s="117"/>
      <c r="H103" s="117"/>
      <c r="I103" s="117"/>
    </row>
    <row r="104" spans="1:9" ht="189" x14ac:dyDescent="0.25">
      <c r="A104" s="5">
        <f t="shared" si="6"/>
        <v>6</v>
      </c>
      <c r="B104" s="271" t="s">
        <v>92</v>
      </c>
      <c r="C104" s="23">
        <v>6600</v>
      </c>
      <c r="D104" s="19" t="s">
        <v>11</v>
      </c>
      <c r="E104" s="117"/>
      <c r="F104" s="117"/>
      <c r="G104" s="117"/>
      <c r="H104" s="117"/>
      <c r="I104" s="117"/>
    </row>
    <row r="105" spans="1:9" ht="81.75" customHeight="1" x14ac:dyDescent="0.25">
      <c r="A105" s="3">
        <f t="shared" si="6"/>
        <v>7</v>
      </c>
      <c r="B105" s="20" t="s">
        <v>85</v>
      </c>
      <c r="C105" s="23">
        <v>6</v>
      </c>
      <c r="D105" s="19" t="s">
        <v>24</v>
      </c>
      <c r="E105" s="117"/>
      <c r="F105" s="117"/>
      <c r="G105" s="117"/>
      <c r="H105" s="117"/>
      <c r="I105" s="117"/>
    </row>
    <row r="106" spans="1:9" ht="47.25" x14ac:dyDescent="0.25">
      <c r="A106" s="3">
        <f t="shared" si="6"/>
        <v>8</v>
      </c>
      <c r="B106" s="20" t="s">
        <v>86</v>
      </c>
      <c r="C106" s="23">
        <v>60</v>
      </c>
      <c r="D106" s="19" t="s">
        <v>87</v>
      </c>
      <c r="E106" s="117"/>
      <c r="F106" s="117"/>
      <c r="G106" s="117"/>
      <c r="H106" s="117"/>
      <c r="I106" s="117"/>
    </row>
    <row r="107" spans="1:9" ht="32.25" thickBot="1" x14ac:dyDescent="0.3">
      <c r="A107" s="3">
        <f t="shared" si="6"/>
        <v>9</v>
      </c>
      <c r="B107" s="20" t="s">
        <v>15</v>
      </c>
      <c r="C107" s="23">
        <v>6</v>
      </c>
      <c r="D107" s="19" t="s">
        <v>13</v>
      </c>
      <c r="E107" s="117"/>
      <c r="F107" s="117"/>
      <c r="G107" s="117"/>
      <c r="H107" s="117"/>
      <c r="I107" s="117"/>
    </row>
    <row r="108" spans="1:9" ht="16.5" thickBot="1" x14ac:dyDescent="0.3">
      <c r="A108" s="397" t="s">
        <v>831</v>
      </c>
      <c r="B108" s="398"/>
      <c r="C108" s="252">
        <f>SUM(C99+C100+C101+C102+C104)</f>
        <v>54240</v>
      </c>
      <c r="D108" s="25" t="s">
        <v>11</v>
      </c>
      <c r="E108" s="137"/>
      <c r="F108" s="138"/>
      <c r="G108" s="138"/>
      <c r="H108" s="138"/>
      <c r="I108" s="139"/>
    </row>
  </sheetData>
  <mergeCells count="20">
    <mergeCell ref="A108:B108"/>
    <mergeCell ref="A51:B51"/>
    <mergeCell ref="A53:D53"/>
    <mergeCell ref="A67:D67"/>
    <mergeCell ref="A81:B81"/>
    <mergeCell ref="A83:D83"/>
    <mergeCell ref="A98:D98"/>
    <mergeCell ref="A37:D37"/>
    <mergeCell ref="A3:D3"/>
    <mergeCell ref="A4:D4"/>
    <mergeCell ref="A5:D5"/>
    <mergeCell ref="A6:D6"/>
    <mergeCell ref="A20:B20"/>
    <mergeCell ref="A22:D22"/>
    <mergeCell ref="G1:I1"/>
    <mergeCell ref="A1:A2"/>
    <mergeCell ref="B1:B2"/>
    <mergeCell ref="C1:C2"/>
    <mergeCell ref="D1:D2"/>
    <mergeCell ref="E1:F1"/>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1.2.2. Vízgépészet&amp;R&amp;"Times New Roman,Normál"&amp;9Mennyiségi kiírás (IV. kötet)</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55" zoomScaleNormal="100" zoomScalePageLayoutView="96" workbookViewId="0">
      <selection activeCell="A19" sqref="A19:XFD19"/>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 style="8"/>
  </cols>
  <sheetData>
    <row r="1" spans="1:10" ht="15.75" customHeight="1" x14ac:dyDescent="0.25">
      <c r="A1" s="399" t="s">
        <v>646</v>
      </c>
      <c r="B1" s="371" t="s">
        <v>262</v>
      </c>
      <c r="C1" s="371" t="s">
        <v>263</v>
      </c>
      <c r="D1" s="371" t="s">
        <v>264</v>
      </c>
      <c r="E1" s="371" t="s">
        <v>666</v>
      </c>
      <c r="F1" s="371"/>
      <c r="G1" s="371" t="s">
        <v>667</v>
      </c>
      <c r="H1" s="371"/>
      <c r="I1" s="372"/>
    </row>
    <row r="2" spans="1:10" ht="15.75" customHeight="1" thickBot="1" x14ac:dyDescent="0.3">
      <c r="A2" s="400"/>
      <c r="B2" s="375"/>
      <c r="C2" s="375"/>
      <c r="D2" s="375"/>
      <c r="E2" s="118" t="s">
        <v>668</v>
      </c>
      <c r="F2" s="118" t="s">
        <v>669</v>
      </c>
      <c r="G2" s="118" t="s">
        <v>668</v>
      </c>
      <c r="H2" s="118" t="s">
        <v>669</v>
      </c>
      <c r="I2" s="112" t="s">
        <v>670</v>
      </c>
    </row>
    <row r="3" spans="1:10" ht="15.75" x14ac:dyDescent="0.25">
      <c r="A3" s="376" t="s">
        <v>0</v>
      </c>
      <c r="B3" s="376"/>
      <c r="C3" s="376"/>
      <c r="D3" s="376"/>
      <c r="E3" s="2"/>
      <c r="F3" s="2"/>
      <c r="G3" s="2"/>
      <c r="H3" s="2"/>
      <c r="I3" s="2"/>
    </row>
    <row r="4" spans="1:10" ht="16.5" thickBot="1" x14ac:dyDescent="0.3">
      <c r="A4" s="390" t="s">
        <v>845</v>
      </c>
      <c r="B4" s="390"/>
      <c r="C4" s="390"/>
      <c r="D4" s="391"/>
      <c r="E4" s="152"/>
      <c r="F4" s="153"/>
      <c r="G4" s="153"/>
      <c r="H4" s="153"/>
      <c r="I4" s="154"/>
    </row>
    <row r="5" spans="1:10" ht="16.5" thickBot="1" x14ac:dyDescent="0.3">
      <c r="A5" s="386" t="s">
        <v>817</v>
      </c>
      <c r="B5" s="395"/>
      <c r="C5" s="395"/>
      <c r="D5" s="395"/>
      <c r="E5" s="137"/>
      <c r="F5" s="138"/>
      <c r="G5" s="138"/>
      <c r="H5" s="138"/>
      <c r="I5" s="139"/>
      <c r="J5" s="22"/>
    </row>
    <row r="6" spans="1:10" ht="16.5" thickBot="1" x14ac:dyDescent="0.3">
      <c r="A6" s="405" t="s">
        <v>335</v>
      </c>
      <c r="B6" s="406"/>
      <c r="C6" s="406"/>
      <c r="D6" s="407"/>
      <c r="E6" s="137"/>
      <c r="F6" s="138"/>
      <c r="G6" s="138"/>
      <c r="H6" s="138"/>
      <c r="I6" s="139"/>
      <c r="J6" s="22"/>
    </row>
    <row r="7" spans="1:10" ht="31.5" x14ac:dyDescent="0.25">
      <c r="A7" s="3">
        <f>1</f>
        <v>1</v>
      </c>
      <c r="B7" s="41" t="s">
        <v>119</v>
      </c>
      <c r="C7" s="108">
        <f>2*(45+90+6)</f>
        <v>282</v>
      </c>
      <c r="D7" s="122" t="s">
        <v>23</v>
      </c>
      <c r="E7" s="129"/>
      <c r="F7" s="117"/>
      <c r="G7" s="130"/>
      <c r="H7" s="130"/>
      <c r="I7" s="130"/>
      <c r="J7" s="15"/>
    </row>
    <row r="8" spans="1:10" ht="53.25" customHeight="1" x14ac:dyDescent="0.25">
      <c r="A8" s="3">
        <f>A7+1</f>
        <v>2</v>
      </c>
      <c r="B8" s="37" t="s">
        <v>107</v>
      </c>
      <c r="C8" s="108">
        <f>ROUNDUP((C7-12)/2*6*(112.4-101),-1)</f>
        <v>9240</v>
      </c>
      <c r="D8" s="57" t="s">
        <v>112</v>
      </c>
      <c r="E8" s="129"/>
      <c r="F8" s="117"/>
      <c r="G8" s="130"/>
      <c r="H8" s="130"/>
      <c r="I8" s="130"/>
      <c r="J8" s="15"/>
    </row>
    <row r="9" spans="1:10" ht="32.25" thickBot="1" x14ac:dyDescent="0.3">
      <c r="A9" s="3">
        <f t="shared" ref="A9" si="0">A8+1</f>
        <v>3</v>
      </c>
      <c r="B9" s="27" t="s">
        <v>815</v>
      </c>
      <c r="C9" s="108">
        <f>145+235</f>
        <v>380</v>
      </c>
      <c r="D9" s="28" t="s">
        <v>2</v>
      </c>
      <c r="E9" s="129"/>
      <c r="F9" s="117"/>
      <c r="G9" s="130"/>
      <c r="H9" s="130"/>
      <c r="I9" s="130"/>
      <c r="J9" s="15"/>
    </row>
    <row r="10" spans="1:10" ht="16.5" thickBot="1" x14ac:dyDescent="0.3">
      <c r="A10" s="377" t="s">
        <v>3</v>
      </c>
      <c r="B10" s="378"/>
      <c r="C10" s="378"/>
      <c r="D10" s="379"/>
      <c r="E10" s="137"/>
      <c r="F10" s="138"/>
      <c r="G10" s="138"/>
      <c r="H10" s="138"/>
      <c r="I10" s="139"/>
      <c r="J10" s="15"/>
    </row>
    <row r="11" spans="1:10" ht="31.5" x14ac:dyDescent="0.25">
      <c r="A11" s="3">
        <f>A8+1</f>
        <v>3</v>
      </c>
      <c r="B11" s="27" t="s">
        <v>6</v>
      </c>
      <c r="C11" s="108">
        <f>(C7-12)/2*6*0.1</f>
        <v>81</v>
      </c>
      <c r="D11" s="28" t="s">
        <v>2</v>
      </c>
      <c r="E11" s="129"/>
      <c r="F11" s="117"/>
      <c r="G11" s="130"/>
      <c r="H11" s="130"/>
      <c r="I11" s="130"/>
      <c r="J11" s="15"/>
    </row>
    <row r="12" spans="1:10" ht="78.75" x14ac:dyDescent="0.25">
      <c r="A12" s="3">
        <f t="shared" ref="A12:A16" si="1">A11+1</f>
        <v>4</v>
      </c>
      <c r="B12" s="27" t="s">
        <v>816</v>
      </c>
      <c r="C12" s="108">
        <f>ROUNDUP(2097+848,-1)</f>
        <v>2950</v>
      </c>
      <c r="D12" s="28" t="s">
        <v>2</v>
      </c>
      <c r="E12" s="129"/>
      <c r="F12" s="117"/>
      <c r="G12" s="130"/>
      <c r="H12" s="130"/>
      <c r="I12" s="130"/>
      <c r="J12" s="15"/>
    </row>
    <row r="13" spans="1:10" ht="47.25" x14ac:dyDescent="0.25">
      <c r="A13" s="3">
        <f t="shared" si="1"/>
        <v>5</v>
      </c>
      <c r="B13" s="27" t="s">
        <v>336</v>
      </c>
      <c r="C13" s="108">
        <f>ROUNDUP(527+1255,-1)</f>
        <v>1790</v>
      </c>
      <c r="D13" s="28" t="s">
        <v>2</v>
      </c>
      <c r="E13" s="129"/>
      <c r="F13" s="117"/>
      <c r="G13" s="130"/>
      <c r="H13" s="130"/>
      <c r="I13" s="130"/>
      <c r="J13" s="15"/>
    </row>
    <row r="14" spans="1:10" ht="63" x14ac:dyDescent="0.25">
      <c r="A14" s="3">
        <f t="shared" si="1"/>
        <v>6</v>
      </c>
      <c r="B14" s="30" t="s">
        <v>104</v>
      </c>
      <c r="C14" s="108">
        <f>ROUNDUP(2*(36.5+7.215)*9.4+2*(78.58+10.24)*11.4,-1)</f>
        <v>2850</v>
      </c>
      <c r="D14" s="28" t="s">
        <v>7</v>
      </c>
      <c r="E14" s="129"/>
      <c r="F14" s="117"/>
      <c r="G14" s="130"/>
      <c r="H14" s="130"/>
      <c r="I14" s="130"/>
      <c r="J14" s="15"/>
    </row>
    <row r="15" spans="1:10" ht="18.75" x14ac:dyDescent="0.25">
      <c r="A15" s="3">
        <f t="shared" si="1"/>
        <v>7</v>
      </c>
      <c r="B15" s="30" t="s">
        <v>337</v>
      </c>
      <c r="C15" s="108">
        <f>ROUNDUP(C14*1.03,-1)</f>
        <v>2940</v>
      </c>
      <c r="D15" s="28" t="s">
        <v>7</v>
      </c>
      <c r="E15" s="129"/>
      <c r="F15" s="117"/>
      <c r="G15" s="130"/>
      <c r="H15" s="130"/>
      <c r="I15" s="130"/>
      <c r="J15" s="15"/>
    </row>
    <row r="16" spans="1:10" ht="19.5" thickBot="1" x14ac:dyDescent="0.3">
      <c r="A16" s="5">
        <f t="shared" si="1"/>
        <v>8</v>
      </c>
      <c r="B16" s="105" t="s">
        <v>349</v>
      </c>
      <c r="C16" s="108">
        <f>(9.4+11.4)*4.71</f>
        <v>97.968000000000004</v>
      </c>
      <c r="D16" s="98" t="s">
        <v>7</v>
      </c>
      <c r="E16" s="129"/>
      <c r="F16" s="117"/>
      <c r="G16" s="130"/>
      <c r="H16" s="130"/>
      <c r="I16" s="130"/>
      <c r="J16" s="15"/>
    </row>
    <row r="17" spans="1:9" ht="16.5" thickBot="1" x14ac:dyDescent="0.3">
      <c r="A17" s="386" t="s">
        <v>833</v>
      </c>
      <c r="B17" s="395"/>
      <c r="C17" s="395"/>
      <c r="D17" s="396"/>
      <c r="E17" s="137"/>
      <c r="F17" s="138"/>
      <c r="G17" s="138"/>
      <c r="H17" s="138"/>
      <c r="I17" s="139"/>
    </row>
    <row r="18" spans="1:9" ht="31.5" x14ac:dyDescent="0.25">
      <c r="A18" s="3">
        <v>1</v>
      </c>
      <c r="B18" s="20" t="s">
        <v>111</v>
      </c>
      <c r="C18" s="39">
        <v>154</v>
      </c>
      <c r="D18" s="57" t="s">
        <v>112</v>
      </c>
      <c r="E18" s="132"/>
      <c r="F18" s="132"/>
      <c r="G18" s="132"/>
      <c r="H18" s="132"/>
      <c r="I18" s="132"/>
    </row>
    <row r="19" spans="1:9" ht="18.75" x14ac:dyDescent="0.25">
      <c r="A19" s="3">
        <f>A18+1</f>
        <v>2</v>
      </c>
      <c r="B19" s="20" t="s">
        <v>113</v>
      </c>
      <c r="C19" s="39">
        <v>46</v>
      </c>
      <c r="D19" s="57" t="s">
        <v>114</v>
      </c>
      <c r="E19" s="117"/>
      <c r="F19" s="117"/>
      <c r="G19" s="117"/>
      <c r="H19" s="117"/>
      <c r="I19" s="117"/>
    </row>
    <row r="20" spans="1:9" ht="31.5" x14ac:dyDescent="0.25">
      <c r="A20" s="3">
        <f t="shared" ref="A20:A21" si="2">A19+1</f>
        <v>3</v>
      </c>
      <c r="B20" s="20" t="s">
        <v>115</v>
      </c>
      <c r="C20" s="39">
        <v>45</v>
      </c>
      <c r="D20" s="57" t="s">
        <v>112</v>
      </c>
      <c r="E20" s="117"/>
      <c r="F20" s="117"/>
      <c r="G20" s="117"/>
      <c r="H20" s="117"/>
      <c r="I20" s="117"/>
    </row>
    <row r="21" spans="1:9" ht="31.5" x14ac:dyDescent="0.25">
      <c r="A21" s="3">
        <f t="shared" si="2"/>
        <v>4</v>
      </c>
      <c r="B21" s="20" t="s">
        <v>116</v>
      </c>
      <c r="C21" s="39">
        <v>63</v>
      </c>
      <c r="D21" s="57" t="s">
        <v>112</v>
      </c>
      <c r="E21" s="117"/>
      <c r="F21" s="117"/>
      <c r="G21" s="117"/>
      <c r="H21" s="117"/>
      <c r="I21" s="117"/>
    </row>
    <row r="22" spans="1:9" ht="16.5" thickBot="1" x14ac:dyDescent="0.3">
      <c r="A22" s="3">
        <f>A21+1</f>
        <v>5</v>
      </c>
      <c r="B22" s="20" t="s">
        <v>117</v>
      </c>
      <c r="C22" s="39">
        <v>4</v>
      </c>
      <c r="D22" s="57" t="s">
        <v>8</v>
      </c>
      <c r="E22" s="117"/>
      <c r="F22" s="117"/>
      <c r="G22" s="117"/>
      <c r="H22" s="117"/>
      <c r="I22" s="117"/>
    </row>
    <row r="23" spans="1:9" ht="16.5" thickBot="1" x14ac:dyDescent="0.3">
      <c r="A23" s="386" t="s">
        <v>834</v>
      </c>
      <c r="B23" s="395"/>
      <c r="C23" s="395"/>
      <c r="D23" s="396"/>
      <c r="E23" s="137"/>
      <c r="F23" s="138"/>
      <c r="G23" s="138"/>
      <c r="H23" s="138"/>
      <c r="I23" s="139"/>
    </row>
    <row r="24" spans="1:9" ht="16.5" thickBot="1" x14ac:dyDescent="0.3">
      <c r="A24" s="405" t="s">
        <v>1</v>
      </c>
      <c r="B24" s="406"/>
      <c r="C24" s="406"/>
      <c r="D24" s="408"/>
      <c r="E24" s="137"/>
      <c r="F24" s="138"/>
      <c r="G24" s="138"/>
      <c r="H24" s="138"/>
      <c r="I24" s="139"/>
    </row>
    <row r="25" spans="1:9" ht="31.5" x14ac:dyDescent="0.25">
      <c r="A25" s="3">
        <f>1</f>
        <v>1</v>
      </c>
      <c r="B25" s="41" t="s">
        <v>119</v>
      </c>
      <c r="C25" s="26">
        <v>115</v>
      </c>
      <c r="D25" s="57" t="s">
        <v>23</v>
      </c>
      <c r="E25" s="132"/>
      <c r="F25" s="132"/>
      <c r="G25" s="132"/>
      <c r="H25" s="132"/>
      <c r="I25" s="132"/>
    </row>
    <row r="26" spans="1:9" ht="31.5" x14ac:dyDescent="0.25">
      <c r="A26" s="3">
        <f>A25+1</f>
        <v>2</v>
      </c>
      <c r="B26" s="37" t="s">
        <v>107</v>
      </c>
      <c r="C26" s="26">
        <f>356*6.6</f>
        <v>2349.6</v>
      </c>
      <c r="D26" s="57" t="s">
        <v>112</v>
      </c>
      <c r="E26" s="117"/>
      <c r="F26" s="117"/>
      <c r="G26" s="117"/>
      <c r="H26" s="117"/>
      <c r="I26" s="117"/>
    </row>
    <row r="27" spans="1:9" ht="19.5" thickBot="1" x14ac:dyDescent="0.3">
      <c r="A27" s="5">
        <f>A26+1</f>
        <v>3</v>
      </c>
      <c r="B27" s="40" t="s">
        <v>118</v>
      </c>
      <c r="C27" s="26">
        <f>ROUNDUP(C26-74*6.6-C30-C31-C32,-1)</f>
        <v>1500</v>
      </c>
      <c r="D27" s="57" t="s">
        <v>112</v>
      </c>
      <c r="E27" s="159"/>
      <c r="F27" s="159"/>
      <c r="G27" s="159"/>
      <c r="H27" s="159"/>
      <c r="I27" s="159"/>
    </row>
    <row r="28" spans="1:9" ht="16.5" thickBot="1" x14ac:dyDescent="0.3">
      <c r="A28" s="377" t="s">
        <v>3</v>
      </c>
      <c r="B28" s="378"/>
      <c r="C28" s="378"/>
      <c r="D28" s="379"/>
      <c r="E28" s="137"/>
      <c r="F28" s="138"/>
      <c r="G28" s="138"/>
      <c r="H28" s="138"/>
      <c r="I28" s="139"/>
    </row>
    <row r="29" spans="1:9" ht="47.25" x14ac:dyDescent="0.25">
      <c r="A29" s="3">
        <v>1</v>
      </c>
      <c r="B29" s="43" t="s">
        <v>639</v>
      </c>
      <c r="C29" s="44">
        <v>21</v>
      </c>
      <c r="D29" s="37" t="s">
        <v>24</v>
      </c>
      <c r="E29" s="132"/>
      <c r="F29" s="132"/>
      <c r="G29" s="132"/>
      <c r="H29" s="132"/>
      <c r="I29" s="132"/>
    </row>
    <row r="30" spans="1:9" ht="31.5" x14ac:dyDescent="0.25">
      <c r="A30" s="5">
        <f>A29+1</f>
        <v>2</v>
      </c>
      <c r="B30" s="41" t="s">
        <v>121</v>
      </c>
      <c r="C30" s="110">
        <f>C31/5</f>
        <v>19.55</v>
      </c>
      <c r="D30" s="57" t="s">
        <v>112</v>
      </c>
      <c r="E30" s="117"/>
      <c r="F30" s="117"/>
      <c r="G30" s="117"/>
      <c r="H30" s="117"/>
      <c r="I30" s="117"/>
    </row>
    <row r="31" spans="1:9" ht="31.5" x14ac:dyDescent="0.25">
      <c r="A31" s="5">
        <f>A30+1</f>
        <v>3</v>
      </c>
      <c r="B31" s="41" t="s">
        <v>122</v>
      </c>
      <c r="C31" s="110">
        <v>97.75</v>
      </c>
      <c r="D31" s="57" t="s">
        <v>112</v>
      </c>
      <c r="E31" s="117"/>
      <c r="F31" s="117"/>
      <c r="G31" s="117"/>
      <c r="H31" s="117"/>
      <c r="I31" s="117"/>
    </row>
    <row r="32" spans="1:9" ht="47.25" x14ac:dyDescent="0.25">
      <c r="A32" s="5">
        <f>A31+1</f>
        <v>4</v>
      </c>
      <c r="B32" s="41" t="s">
        <v>123</v>
      </c>
      <c r="C32" s="39">
        <f>228+21</f>
        <v>249</v>
      </c>
      <c r="D32" s="57" t="s">
        <v>112</v>
      </c>
      <c r="E32" s="117"/>
      <c r="F32" s="117"/>
      <c r="G32" s="117"/>
      <c r="H32" s="117"/>
      <c r="I32" s="117"/>
    </row>
    <row r="33" spans="1:9" ht="15.75" x14ac:dyDescent="0.25">
      <c r="A33" s="5">
        <f>A32+1</f>
        <v>5</v>
      </c>
      <c r="B33" s="45" t="s">
        <v>136</v>
      </c>
      <c r="C33" s="110">
        <f>0.18*(C32+C31)</f>
        <v>62.414999999999999</v>
      </c>
      <c r="D33" s="57" t="s">
        <v>8</v>
      </c>
      <c r="E33" s="117"/>
      <c r="F33" s="117"/>
      <c r="G33" s="117"/>
      <c r="H33" s="117"/>
      <c r="I33" s="117"/>
    </row>
    <row r="34" spans="1:9" ht="18.75" x14ac:dyDescent="0.25">
      <c r="A34" s="5">
        <f t="shared" ref="A34:A35" si="3">A33+1</f>
        <v>6</v>
      </c>
      <c r="B34" s="45" t="s">
        <v>144</v>
      </c>
      <c r="C34" s="39">
        <f>ROUNDUP(9*2*14.5+230*2+153.6*2,-1)</f>
        <v>1030</v>
      </c>
      <c r="D34" s="57" t="s">
        <v>114</v>
      </c>
      <c r="E34" s="117"/>
      <c r="F34" s="117"/>
      <c r="G34" s="117"/>
      <c r="H34" s="117"/>
      <c r="I34" s="117"/>
    </row>
    <row r="35" spans="1:9" ht="19.5" thickBot="1" x14ac:dyDescent="0.3">
      <c r="A35" s="5">
        <f t="shared" si="3"/>
        <v>7</v>
      </c>
      <c r="B35" s="45" t="s">
        <v>643</v>
      </c>
      <c r="C35" s="39">
        <v>102</v>
      </c>
      <c r="D35" s="57" t="s">
        <v>114</v>
      </c>
      <c r="E35" s="117"/>
      <c r="F35" s="117"/>
      <c r="G35" s="117"/>
      <c r="H35" s="117"/>
      <c r="I35" s="117"/>
    </row>
    <row r="36" spans="1:9" ht="16.5" thickBot="1" x14ac:dyDescent="0.3">
      <c r="A36" s="386" t="s">
        <v>835</v>
      </c>
      <c r="B36" s="395"/>
      <c r="C36" s="395"/>
      <c r="D36" s="396"/>
      <c r="E36" s="137"/>
      <c r="F36" s="138"/>
      <c r="G36" s="138"/>
      <c r="H36" s="138"/>
      <c r="I36" s="139"/>
    </row>
    <row r="37" spans="1:9" ht="16.5" thickBot="1" x14ac:dyDescent="0.3">
      <c r="A37" s="405" t="s">
        <v>1</v>
      </c>
      <c r="B37" s="406"/>
      <c r="C37" s="406"/>
      <c r="D37" s="408"/>
      <c r="E37" s="137"/>
      <c r="F37" s="138"/>
      <c r="G37" s="138"/>
      <c r="H37" s="138"/>
      <c r="I37" s="139"/>
    </row>
    <row r="38" spans="1:9" ht="31.5" x14ac:dyDescent="0.25">
      <c r="A38" s="3">
        <f>1</f>
        <v>1</v>
      </c>
      <c r="B38" s="41" t="s">
        <v>119</v>
      </c>
      <c r="C38" s="26">
        <v>62</v>
      </c>
      <c r="D38" s="57" t="s">
        <v>23</v>
      </c>
      <c r="E38" s="132"/>
      <c r="F38" s="132"/>
      <c r="G38" s="132"/>
      <c r="H38" s="180"/>
      <c r="I38" s="132"/>
    </row>
    <row r="39" spans="1:9" ht="31.5" x14ac:dyDescent="0.25">
      <c r="A39" s="3">
        <f>A38+1</f>
        <v>2</v>
      </c>
      <c r="B39" s="37" t="s">
        <v>107</v>
      </c>
      <c r="C39" s="26">
        <v>1900</v>
      </c>
      <c r="D39" s="57" t="s">
        <v>112</v>
      </c>
      <c r="E39" s="117"/>
      <c r="F39" s="117"/>
      <c r="G39" s="117"/>
      <c r="H39" s="117"/>
      <c r="I39" s="117"/>
    </row>
    <row r="40" spans="1:9" ht="18.75" x14ac:dyDescent="0.25">
      <c r="A40" s="5">
        <f>A39+1</f>
        <v>3</v>
      </c>
      <c r="B40" s="40" t="s">
        <v>118</v>
      </c>
      <c r="C40" s="103">
        <v>1110</v>
      </c>
      <c r="D40" s="57" t="s">
        <v>112</v>
      </c>
      <c r="E40" s="117"/>
      <c r="F40" s="117"/>
      <c r="G40" s="117"/>
      <c r="H40" s="117"/>
      <c r="I40" s="117"/>
    </row>
    <row r="41" spans="1:9" ht="35.25" customHeight="1" thickBot="1" x14ac:dyDescent="0.3"/>
    <row r="42" spans="1:9" ht="16.5" thickBot="1" x14ac:dyDescent="0.3">
      <c r="A42" s="377" t="s">
        <v>3</v>
      </c>
      <c r="B42" s="378"/>
      <c r="C42" s="378"/>
      <c r="D42" s="379"/>
      <c r="E42" s="137"/>
      <c r="F42" s="138"/>
      <c r="G42" s="138"/>
      <c r="H42" s="138"/>
      <c r="I42" s="139"/>
    </row>
    <row r="43" spans="1:9" ht="47.25" x14ac:dyDescent="0.25">
      <c r="A43" s="3">
        <v>1</v>
      </c>
      <c r="B43" s="43" t="s">
        <v>639</v>
      </c>
      <c r="C43" s="44">
        <v>16</v>
      </c>
      <c r="D43" s="37" t="s">
        <v>24</v>
      </c>
      <c r="E43" s="132"/>
      <c r="F43" s="132"/>
      <c r="G43" s="132"/>
      <c r="H43" s="132"/>
      <c r="I43" s="132"/>
    </row>
    <row r="44" spans="1:9" ht="31.5" x14ac:dyDescent="0.25">
      <c r="A44" s="5">
        <f>A43+1</f>
        <v>2</v>
      </c>
      <c r="B44" s="41" t="s">
        <v>121</v>
      </c>
      <c r="C44" s="110">
        <v>14.06</v>
      </c>
      <c r="D44" s="57" t="s">
        <v>112</v>
      </c>
      <c r="E44" s="117"/>
      <c r="F44" s="117"/>
      <c r="G44" s="117"/>
      <c r="H44" s="117"/>
      <c r="I44" s="117"/>
    </row>
    <row r="45" spans="1:9" ht="31.5" x14ac:dyDescent="0.25">
      <c r="A45" s="5">
        <f>A44+1</f>
        <v>3</v>
      </c>
      <c r="B45" s="41" t="s">
        <v>122</v>
      </c>
      <c r="C45" s="39">
        <v>62</v>
      </c>
      <c r="D45" s="57" t="s">
        <v>112</v>
      </c>
      <c r="E45" s="117"/>
      <c r="F45" s="117"/>
      <c r="G45" s="117"/>
      <c r="H45" s="117"/>
      <c r="I45" s="117"/>
    </row>
    <row r="46" spans="1:9" ht="47.25" x14ac:dyDescent="0.25">
      <c r="A46" s="5">
        <f>A45+1</f>
        <v>4</v>
      </c>
      <c r="B46" s="41" t="s">
        <v>123</v>
      </c>
      <c r="C46" s="39">
        <v>135</v>
      </c>
      <c r="D46" s="57" t="s">
        <v>112</v>
      </c>
      <c r="E46" s="117"/>
      <c r="F46" s="117"/>
      <c r="G46" s="117"/>
      <c r="H46" s="117"/>
      <c r="I46" s="117"/>
    </row>
    <row r="47" spans="1:9" ht="15.75" x14ac:dyDescent="0.25">
      <c r="A47" s="5">
        <f>A46+1</f>
        <v>5</v>
      </c>
      <c r="B47" s="45" t="s">
        <v>136</v>
      </c>
      <c r="C47" s="110">
        <f>0.18*(C46+C45)</f>
        <v>35.46</v>
      </c>
      <c r="D47" s="57" t="s">
        <v>8</v>
      </c>
      <c r="E47" s="117"/>
      <c r="F47" s="117"/>
      <c r="G47" s="117"/>
      <c r="H47" s="117"/>
      <c r="I47" s="117"/>
    </row>
    <row r="48" spans="1:9" ht="18.75" x14ac:dyDescent="0.25">
      <c r="A48" s="5">
        <f t="shared" ref="A48:A49" si="4">A47+1</f>
        <v>6</v>
      </c>
      <c r="B48" s="45" t="s">
        <v>144</v>
      </c>
      <c r="C48" s="39">
        <v>674</v>
      </c>
      <c r="D48" s="57" t="s">
        <v>114</v>
      </c>
      <c r="E48" s="117"/>
      <c r="F48" s="117"/>
      <c r="G48" s="117"/>
      <c r="H48" s="117"/>
      <c r="I48" s="117"/>
    </row>
    <row r="49" spans="1:9" ht="18.75" x14ac:dyDescent="0.25">
      <c r="A49" s="5">
        <f t="shared" si="4"/>
        <v>7</v>
      </c>
      <c r="B49" s="45" t="s">
        <v>643</v>
      </c>
      <c r="C49" s="39">
        <v>64</v>
      </c>
      <c r="D49" s="57" t="s">
        <v>114</v>
      </c>
      <c r="E49" s="117"/>
      <c r="F49" s="117"/>
      <c r="G49" s="117"/>
      <c r="H49" s="117"/>
      <c r="I49" s="117"/>
    </row>
  </sheetData>
  <mergeCells count="18">
    <mergeCell ref="G1:I1"/>
    <mergeCell ref="A1:A2"/>
    <mergeCell ref="B1:B2"/>
    <mergeCell ref="C1:C2"/>
    <mergeCell ref="D1:D2"/>
    <mergeCell ref="E1:F1"/>
    <mergeCell ref="A23:D23"/>
    <mergeCell ref="A28:D28"/>
    <mergeCell ref="A36:D36"/>
    <mergeCell ref="A42:D42"/>
    <mergeCell ref="A17:D17"/>
    <mergeCell ref="A24:D24"/>
    <mergeCell ref="A37:D37"/>
    <mergeCell ref="A3:D3"/>
    <mergeCell ref="A4:D4"/>
    <mergeCell ref="A5:D5"/>
    <mergeCell ref="A6:D6"/>
    <mergeCell ref="A10:D10"/>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1.3. Vezető művek, csónak átemelő&amp;R&amp;"Times New Roman,Normál"&amp;9Mennyiségi kiírás (IV. kötet)</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61" zoomScaleNormal="100" zoomScalePageLayoutView="96" workbookViewId="0">
      <selection activeCell="A19" sqref="A19:XFD19"/>
    </sheetView>
  </sheetViews>
  <sheetFormatPr defaultColWidth="9" defaultRowHeight="15" x14ac:dyDescent="0.25"/>
  <cols>
    <col min="1" max="1" width="6" style="8" customWidth="1"/>
    <col min="2" max="2" width="60.7109375" style="8" customWidth="1"/>
    <col min="3" max="3" width="10.7109375" style="8" customWidth="1"/>
    <col min="4" max="4" width="6.7109375" style="8" customWidth="1"/>
    <col min="5" max="8" width="8.7109375" style="8" customWidth="1"/>
    <col min="9" max="9" width="10.42578125" style="8" customWidth="1"/>
    <col min="10" max="10" width="26.85546875" style="8" customWidth="1"/>
    <col min="11" max="16384" width="9" style="8"/>
  </cols>
  <sheetData>
    <row r="1" spans="1:9" ht="15.75" customHeight="1" x14ac:dyDescent="0.25">
      <c r="A1" s="399" t="s">
        <v>646</v>
      </c>
      <c r="B1" s="371" t="s">
        <v>262</v>
      </c>
      <c r="C1" s="371" t="s">
        <v>263</v>
      </c>
      <c r="D1" s="371" t="s">
        <v>264</v>
      </c>
      <c r="E1" s="371" t="s">
        <v>666</v>
      </c>
      <c r="F1" s="371"/>
      <c r="G1" s="371" t="s">
        <v>667</v>
      </c>
      <c r="H1" s="371"/>
      <c r="I1" s="372"/>
    </row>
    <row r="2" spans="1:9" ht="15.75" customHeight="1" thickBot="1" x14ac:dyDescent="0.3">
      <c r="A2" s="400"/>
      <c r="B2" s="375"/>
      <c r="C2" s="375"/>
      <c r="D2" s="375"/>
      <c r="E2" s="254" t="s">
        <v>668</v>
      </c>
      <c r="F2" s="254" t="s">
        <v>669</v>
      </c>
      <c r="G2" s="254" t="s">
        <v>668</v>
      </c>
      <c r="H2" s="254" t="s">
        <v>669</v>
      </c>
      <c r="I2" s="112" t="s">
        <v>670</v>
      </c>
    </row>
    <row r="3" spans="1:9" ht="15.75" x14ac:dyDescent="0.25">
      <c r="A3" s="376" t="s">
        <v>0</v>
      </c>
      <c r="B3" s="376"/>
      <c r="C3" s="376"/>
      <c r="D3" s="376"/>
      <c r="E3" s="2"/>
      <c r="F3" s="2"/>
      <c r="G3" s="2"/>
      <c r="H3" s="2"/>
      <c r="I3" s="2"/>
    </row>
    <row r="4" spans="1:9" ht="16.5" thickBot="1" x14ac:dyDescent="0.3">
      <c r="A4" s="390" t="s">
        <v>832</v>
      </c>
      <c r="B4" s="390"/>
      <c r="C4" s="390"/>
      <c r="D4" s="391"/>
      <c r="E4" s="152"/>
      <c r="F4" s="153"/>
      <c r="G4" s="153"/>
      <c r="H4" s="153"/>
      <c r="I4" s="154"/>
    </row>
    <row r="5" spans="1:9" ht="16.5" thickBot="1" x14ac:dyDescent="0.3">
      <c r="A5" s="386" t="s">
        <v>836</v>
      </c>
      <c r="B5" s="395"/>
      <c r="C5" s="395"/>
      <c r="D5" s="396"/>
      <c r="E5" s="137"/>
      <c r="F5" s="138"/>
      <c r="G5" s="138"/>
      <c r="H5" s="138"/>
      <c r="I5" s="139"/>
    </row>
    <row r="6" spans="1:9" ht="16.5" thickBot="1" x14ac:dyDescent="0.3">
      <c r="A6" s="405" t="s">
        <v>1</v>
      </c>
      <c r="B6" s="406"/>
      <c r="C6" s="406"/>
      <c r="D6" s="408"/>
      <c r="E6" s="137"/>
      <c r="F6" s="138"/>
      <c r="G6" s="138"/>
      <c r="H6" s="138"/>
      <c r="I6" s="139"/>
    </row>
    <row r="7" spans="1:9" ht="31.5" x14ac:dyDescent="0.25">
      <c r="A7" s="3">
        <f>1</f>
        <v>1</v>
      </c>
      <c r="B7" s="43" t="s">
        <v>119</v>
      </c>
      <c r="C7" s="26">
        <v>355</v>
      </c>
      <c r="D7" s="37" t="s">
        <v>23</v>
      </c>
      <c r="E7" s="132"/>
      <c r="F7" s="132"/>
      <c r="G7" s="132"/>
      <c r="H7" s="132"/>
      <c r="I7" s="132"/>
    </row>
    <row r="8" spans="1:9" ht="52.5" customHeight="1" x14ac:dyDescent="0.25">
      <c r="A8" s="3">
        <f>A7+1</f>
        <v>2</v>
      </c>
      <c r="B8" s="37" t="s">
        <v>107</v>
      </c>
      <c r="C8" s="26">
        <f>ROUNDUP(10115,-2)</f>
        <v>10200</v>
      </c>
      <c r="D8" s="57" t="s">
        <v>112</v>
      </c>
      <c r="E8" s="117"/>
      <c r="F8" s="117"/>
      <c r="G8" s="117"/>
      <c r="H8" s="117"/>
      <c r="I8" s="117"/>
    </row>
    <row r="9" spans="1:9" ht="19.5" thickBot="1" x14ac:dyDescent="0.3">
      <c r="A9" s="3">
        <f>A8+1</f>
        <v>3</v>
      </c>
      <c r="B9" s="40" t="s">
        <v>118</v>
      </c>
      <c r="C9" s="26">
        <v>5900</v>
      </c>
      <c r="D9" s="57" t="s">
        <v>112</v>
      </c>
      <c r="E9" s="117"/>
      <c r="F9" s="117"/>
      <c r="G9" s="117"/>
      <c r="H9" s="117"/>
      <c r="I9" s="117"/>
    </row>
    <row r="10" spans="1:9" ht="16.5" thickBot="1" x14ac:dyDescent="0.3">
      <c r="A10" s="377" t="s">
        <v>3</v>
      </c>
      <c r="B10" s="378"/>
      <c r="C10" s="378"/>
      <c r="D10" s="379"/>
      <c r="E10" s="137"/>
      <c r="F10" s="138"/>
      <c r="G10" s="138"/>
      <c r="H10" s="138"/>
      <c r="I10" s="139"/>
    </row>
    <row r="11" spans="1:9" ht="51" customHeight="1" x14ac:dyDescent="0.25">
      <c r="A11" s="3">
        <v>1</v>
      </c>
      <c r="B11" s="43" t="s">
        <v>120</v>
      </c>
      <c r="C11" s="44">
        <v>81</v>
      </c>
      <c r="D11" s="37" t="s">
        <v>24</v>
      </c>
      <c r="E11" s="132"/>
      <c r="F11" s="132"/>
      <c r="G11" s="132"/>
      <c r="H11" s="132"/>
      <c r="I11" s="132"/>
    </row>
    <row r="12" spans="1:9" ht="31.5" x14ac:dyDescent="0.25">
      <c r="A12" s="3">
        <f>A11+1</f>
        <v>2</v>
      </c>
      <c r="B12" s="41" t="s">
        <v>121</v>
      </c>
      <c r="C12" s="39">
        <v>75</v>
      </c>
      <c r="D12" s="57" t="s">
        <v>112</v>
      </c>
      <c r="E12" s="117"/>
      <c r="F12" s="117"/>
      <c r="G12" s="117"/>
      <c r="H12" s="117"/>
      <c r="I12" s="117"/>
    </row>
    <row r="13" spans="1:9" ht="31.5" x14ac:dyDescent="0.25">
      <c r="A13" s="3">
        <f>A12+1</f>
        <v>3</v>
      </c>
      <c r="B13" s="41" t="s">
        <v>122</v>
      </c>
      <c r="C13" s="39">
        <v>330</v>
      </c>
      <c r="D13" s="57" t="s">
        <v>112</v>
      </c>
      <c r="E13" s="117"/>
      <c r="F13" s="117"/>
      <c r="G13" s="117"/>
      <c r="H13" s="117"/>
      <c r="I13" s="117"/>
    </row>
    <row r="14" spans="1:9" ht="47.25" x14ac:dyDescent="0.25">
      <c r="A14" s="3">
        <f>A13+1</f>
        <v>4</v>
      </c>
      <c r="B14" s="41" t="s">
        <v>123</v>
      </c>
      <c r="C14" s="39">
        <v>720</v>
      </c>
      <c r="D14" s="57" t="s">
        <v>112</v>
      </c>
      <c r="E14" s="117"/>
      <c r="F14" s="117"/>
      <c r="G14" s="117"/>
      <c r="H14" s="117"/>
      <c r="I14" s="117"/>
    </row>
    <row r="15" spans="1:9" ht="31.5" x14ac:dyDescent="0.25">
      <c r="A15" s="3">
        <f t="shared" ref="A15:A31" si="0">A14+1</f>
        <v>5</v>
      </c>
      <c r="B15" s="41" t="s">
        <v>124</v>
      </c>
      <c r="C15" s="39">
        <v>75</v>
      </c>
      <c r="D15" s="57" t="s">
        <v>112</v>
      </c>
      <c r="E15" s="117"/>
      <c r="F15" s="117"/>
      <c r="G15" s="117"/>
      <c r="H15" s="117"/>
      <c r="I15" s="117"/>
    </row>
    <row r="16" spans="1:9" ht="18.75" x14ac:dyDescent="0.25">
      <c r="A16" s="3">
        <f t="shared" si="0"/>
        <v>6</v>
      </c>
      <c r="B16" s="41" t="s">
        <v>125</v>
      </c>
      <c r="C16" s="39">
        <v>230</v>
      </c>
      <c r="D16" s="57" t="s">
        <v>114</v>
      </c>
      <c r="E16" s="117"/>
      <c r="F16" s="117"/>
      <c r="G16" s="117"/>
      <c r="H16" s="117"/>
      <c r="I16" s="117"/>
    </row>
    <row r="17" spans="1:9" ht="18.75" x14ac:dyDescent="0.25">
      <c r="A17" s="3">
        <f t="shared" si="0"/>
        <v>7</v>
      </c>
      <c r="B17" s="41" t="s">
        <v>126</v>
      </c>
      <c r="C17" s="39">
        <v>220</v>
      </c>
      <c r="D17" s="57" t="s">
        <v>114</v>
      </c>
      <c r="E17" s="117"/>
      <c r="F17" s="117"/>
      <c r="G17" s="117"/>
      <c r="H17" s="117"/>
      <c r="I17" s="117"/>
    </row>
    <row r="18" spans="1:9" ht="47.25" x14ac:dyDescent="0.25">
      <c r="A18" s="3">
        <f t="shared" si="0"/>
        <v>8</v>
      </c>
      <c r="B18" s="41" t="s">
        <v>127</v>
      </c>
      <c r="C18" s="39">
        <v>50</v>
      </c>
      <c r="D18" s="57" t="s">
        <v>112</v>
      </c>
      <c r="E18" s="117"/>
      <c r="F18" s="117"/>
      <c r="G18" s="117"/>
      <c r="H18" s="117"/>
      <c r="I18" s="117"/>
    </row>
    <row r="19" spans="1:9" ht="47.25" customHeight="1" x14ac:dyDescent="0.25">
      <c r="A19" s="5">
        <f t="shared" si="0"/>
        <v>9</v>
      </c>
      <c r="B19" s="41" t="s">
        <v>128</v>
      </c>
      <c r="C19" s="39">
        <v>5</v>
      </c>
      <c r="D19" s="57" t="s">
        <v>112</v>
      </c>
      <c r="E19" s="117"/>
      <c r="F19" s="117"/>
      <c r="G19" s="117"/>
      <c r="H19" s="117"/>
      <c r="I19" s="117"/>
    </row>
    <row r="20" spans="1:9" ht="31.5" x14ac:dyDescent="0.25">
      <c r="A20" s="5">
        <f t="shared" si="0"/>
        <v>10</v>
      </c>
      <c r="B20" s="41" t="s">
        <v>129</v>
      </c>
      <c r="C20" s="39">
        <v>52</v>
      </c>
      <c r="D20" s="57" t="s">
        <v>112</v>
      </c>
      <c r="E20" s="117"/>
      <c r="F20" s="117"/>
      <c r="G20" s="117"/>
      <c r="H20" s="117"/>
      <c r="I20" s="117"/>
    </row>
    <row r="21" spans="1:9" ht="31.5" x14ac:dyDescent="0.25">
      <c r="A21" s="3">
        <f t="shared" si="0"/>
        <v>11</v>
      </c>
      <c r="B21" s="41" t="s">
        <v>130</v>
      </c>
      <c r="C21" s="39">
        <v>69</v>
      </c>
      <c r="D21" s="57" t="s">
        <v>112</v>
      </c>
      <c r="E21" s="117"/>
      <c r="F21" s="117"/>
      <c r="G21" s="117"/>
      <c r="H21" s="117"/>
      <c r="I21" s="117"/>
    </row>
    <row r="22" spans="1:9" ht="63" customHeight="1" x14ac:dyDescent="0.25">
      <c r="A22" s="3">
        <f t="shared" si="0"/>
        <v>12</v>
      </c>
      <c r="B22" s="41" t="s">
        <v>131</v>
      </c>
      <c r="C22" s="39">
        <v>4</v>
      </c>
      <c r="D22" s="57" t="s">
        <v>24</v>
      </c>
      <c r="E22" s="117"/>
      <c r="F22" s="117"/>
      <c r="G22" s="117"/>
      <c r="H22" s="117"/>
      <c r="I22" s="117"/>
    </row>
    <row r="23" spans="1:9" ht="31.5" x14ac:dyDescent="0.25">
      <c r="A23" s="3">
        <f t="shared" si="0"/>
        <v>13</v>
      </c>
      <c r="B23" s="41" t="s">
        <v>132</v>
      </c>
      <c r="C23" s="39">
        <v>3</v>
      </c>
      <c r="D23" s="57" t="s">
        <v>112</v>
      </c>
      <c r="E23" s="117"/>
      <c r="F23" s="117"/>
      <c r="G23" s="117"/>
      <c r="H23" s="117"/>
      <c r="I23" s="117"/>
    </row>
    <row r="24" spans="1:9" ht="31.5" x14ac:dyDescent="0.25">
      <c r="A24" s="3">
        <f t="shared" si="0"/>
        <v>14</v>
      </c>
      <c r="B24" s="41" t="s">
        <v>133</v>
      </c>
      <c r="C24" s="39">
        <v>1.5</v>
      </c>
      <c r="D24" s="57" t="s">
        <v>112</v>
      </c>
      <c r="E24" s="117"/>
      <c r="F24" s="117"/>
      <c r="G24" s="117"/>
      <c r="H24" s="117"/>
      <c r="I24" s="117"/>
    </row>
    <row r="25" spans="1:9" ht="47.25" x14ac:dyDescent="0.25">
      <c r="A25" s="3">
        <f t="shared" si="0"/>
        <v>15</v>
      </c>
      <c r="B25" s="42" t="s">
        <v>134</v>
      </c>
      <c r="C25" s="39">
        <v>0.6</v>
      </c>
      <c r="D25" s="57" t="s">
        <v>112</v>
      </c>
      <c r="E25" s="117"/>
      <c r="F25" s="117"/>
      <c r="G25" s="117"/>
      <c r="H25" s="117"/>
      <c r="I25" s="117"/>
    </row>
    <row r="26" spans="1:9" ht="47.25" customHeight="1" x14ac:dyDescent="0.25">
      <c r="A26" s="3">
        <f t="shared" si="0"/>
        <v>16</v>
      </c>
      <c r="B26" s="45" t="s">
        <v>135</v>
      </c>
      <c r="C26" s="39">
        <v>10</v>
      </c>
      <c r="D26" s="57" t="s">
        <v>112</v>
      </c>
      <c r="E26" s="117"/>
      <c r="F26" s="117"/>
      <c r="G26" s="117"/>
      <c r="H26" s="117"/>
      <c r="I26" s="117"/>
    </row>
    <row r="27" spans="1:9" ht="15.75" x14ac:dyDescent="0.25">
      <c r="A27" s="3">
        <f t="shared" si="0"/>
        <v>17</v>
      </c>
      <c r="B27" s="45" t="s">
        <v>136</v>
      </c>
      <c r="C27" s="39">
        <v>225</v>
      </c>
      <c r="D27" s="57" t="s">
        <v>8</v>
      </c>
      <c r="E27" s="117"/>
      <c r="F27" s="117"/>
      <c r="G27" s="117"/>
      <c r="H27" s="117"/>
      <c r="I27" s="117"/>
    </row>
    <row r="28" spans="1:9" ht="18.75" x14ac:dyDescent="0.25">
      <c r="A28" s="3">
        <f t="shared" si="0"/>
        <v>18</v>
      </c>
      <c r="B28" s="45" t="s">
        <v>144</v>
      </c>
      <c r="C28" s="39">
        <v>3600</v>
      </c>
      <c r="D28" s="57" t="s">
        <v>114</v>
      </c>
      <c r="E28" s="117"/>
      <c r="F28" s="117"/>
      <c r="G28" s="117"/>
      <c r="H28" s="117"/>
      <c r="I28" s="117"/>
    </row>
    <row r="29" spans="1:9" ht="18.75" x14ac:dyDescent="0.25">
      <c r="A29" s="3">
        <f t="shared" si="0"/>
        <v>19</v>
      </c>
      <c r="B29" s="45" t="s">
        <v>145</v>
      </c>
      <c r="C29" s="39">
        <v>340</v>
      </c>
      <c r="D29" s="57" t="s">
        <v>114</v>
      </c>
      <c r="E29" s="117"/>
      <c r="F29" s="117"/>
      <c r="G29" s="117"/>
      <c r="H29" s="117"/>
      <c r="I29" s="117"/>
    </row>
    <row r="30" spans="1:9" ht="18.75" x14ac:dyDescent="0.25">
      <c r="A30" s="3">
        <f t="shared" si="0"/>
        <v>20</v>
      </c>
      <c r="B30" s="45" t="s">
        <v>146</v>
      </c>
      <c r="C30" s="39">
        <v>150</v>
      </c>
      <c r="D30" s="57" t="s">
        <v>114</v>
      </c>
      <c r="E30" s="117"/>
      <c r="F30" s="117"/>
      <c r="G30" s="117"/>
      <c r="H30" s="117"/>
      <c r="I30" s="117"/>
    </row>
    <row r="31" spans="1:9" ht="19.5" thickBot="1" x14ac:dyDescent="0.3">
      <c r="A31" s="3">
        <f t="shared" si="0"/>
        <v>21</v>
      </c>
      <c r="B31" s="45" t="s">
        <v>147</v>
      </c>
      <c r="C31" s="39">
        <v>155</v>
      </c>
      <c r="D31" s="57" t="s">
        <v>114</v>
      </c>
      <c r="E31" s="117"/>
      <c r="F31" s="117"/>
      <c r="G31" s="117"/>
      <c r="H31" s="117"/>
      <c r="I31" s="117"/>
    </row>
    <row r="32" spans="1:9" ht="16.5" thickBot="1" x14ac:dyDescent="0.3">
      <c r="A32" s="409" t="s">
        <v>137</v>
      </c>
      <c r="B32" s="378"/>
      <c r="C32" s="378"/>
      <c r="D32" s="379"/>
      <c r="E32" s="137"/>
      <c r="F32" s="138"/>
      <c r="G32" s="138"/>
      <c r="H32" s="138"/>
      <c r="I32" s="139"/>
    </row>
    <row r="33" spans="1:9" ht="47.25" x14ac:dyDescent="0.25">
      <c r="A33" s="5">
        <v>1</v>
      </c>
      <c r="B33" s="46" t="s">
        <v>138</v>
      </c>
      <c r="C33" s="44">
        <v>3.3</v>
      </c>
      <c r="D33" s="37" t="s">
        <v>8</v>
      </c>
      <c r="E33" s="132"/>
      <c r="F33" s="132"/>
      <c r="G33" s="132"/>
      <c r="H33" s="132"/>
      <c r="I33" s="132"/>
    </row>
    <row r="34" spans="1:9" ht="31.5" x14ac:dyDescent="0.25">
      <c r="A34" s="5">
        <f t="shared" ref="A34:A39" si="1">A33+1</f>
        <v>2</v>
      </c>
      <c r="B34" s="45" t="s">
        <v>139</v>
      </c>
      <c r="C34" s="84">
        <v>3.86</v>
      </c>
      <c r="D34" s="57" t="s">
        <v>8</v>
      </c>
      <c r="E34" s="117"/>
      <c r="F34" s="117"/>
      <c r="G34" s="117"/>
      <c r="H34" s="117"/>
      <c r="I34" s="117"/>
    </row>
    <row r="35" spans="1:9" ht="47.25" x14ac:dyDescent="0.25">
      <c r="A35" s="5">
        <f t="shared" si="1"/>
        <v>3</v>
      </c>
      <c r="B35" s="42" t="s">
        <v>140</v>
      </c>
      <c r="C35" s="39">
        <v>1</v>
      </c>
      <c r="D35" s="57" t="s">
        <v>24</v>
      </c>
      <c r="E35" s="117"/>
      <c r="F35" s="117"/>
      <c r="G35" s="117"/>
      <c r="H35" s="117"/>
      <c r="I35" s="117"/>
    </row>
    <row r="36" spans="1:9" ht="47.25" x14ac:dyDescent="0.25">
      <c r="A36" s="5">
        <f t="shared" si="1"/>
        <v>4</v>
      </c>
      <c r="B36" s="45" t="s">
        <v>141</v>
      </c>
      <c r="C36" s="39">
        <v>1</v>
      </c>
      <c r="D36" s="57" t="s">
        <v>24</v>
      </c>
      <c r="E36" s="117"/>
      <c r="F36" s="117"/>
      <c r="G36" s="117"/>
      <c r="H36" s="117"/>
      <c r="I36" s="117"/>
    </row>
    <row r="37" spans="1:9" ht="47.25" x14ac:dyDescent="0.25">
      <c r="A37" s="3">
        <f t="shared" si="1"/>
        <v>5</v>
      </c>
      <c r="B37" s="42" t="s">
        <v>142</v>
      </c>
      <c r="C37" s="39">
        <v>1</v>
      </c>
      <c r="D37" s="57" t="s">
        <v>24</v>
      </c>
      <c r="E37" s="117"/>
      <c r="F37" s="117"/>
      <c r="G37" s="117"/>
      <c r="H37" s="117"/>
      <c r="I37" s="117"/>
    </row>
    <row r="38" spans="1:9" ht="47.25" x14ac:dyDescent="0.25">
      <c r="A38" s="3">
        <f t="shared" si="1"/>
        <v>6</v>
      </c>
      <c r="B38" s="42" t="s">
        <v>143</v>
      </c>
      <c r="C38" s="39">
        <v>1</v>
      </c>
      <c r="D38" s="57" t="s">
        <v>24</v>
      </c>
      <c r="E38" s="117"/>
      <c r="F38" s="117"/>
      <c r="G38" s="117"/>
      <c r="H38" s="117"/>
      <c r="I38" s="117"/>
    </row>
    <row r="39" spans="1:9" ht="32.25" thickBot="1" x14ac:dyDescent="0.3">
      <c r="A39" s="5">
        <f t="shared" si="1"/>
        <v>7</v>
      </c>
      <c r="B39" s="45" t="s">
        <v>477</v>
      </c>
      <c r="C39" s="39">
        <f>11*3</f>
        <v>33</v>
      </c>
      <c r="D39" s="57" t="s">
        <v>24</v>
      </c>
      <c r="E39" s="117"/>
      <c r="F39" s="117"/>
      <c r="G39" s="117"/>
      <c r="H39" s="117"/>
      <c r="I39" s="117"/>
    </row>
    <row r="40" spans="1:9" ht="16.5" thickBot="1" x14ac:dyDescent="0.3">
      <c r="A40" s="386" t="s">
        <v>837</v>
      </c>
      <c r="B40" s="395"/>
      <c r="C40" s="395"/>
      <c r="D40" s="396"/>
      <c r="E40" s="137"/>
      <c r="F40" s="138"/>
      <c r="G40" s="138"/>
      <c r="H40" s="138"/>
      <c r="I40" s="139"/>
    </row>
    <row r="41" spans="1:9" ht="16.5" thickBot="1" x14ac:dyDescent="0.3">
      <c r="A41" s="405" t="s">
        <v>1</v>
      </c>
      <c r="B41" s="406"/>
      <c r="C41" s="406"/>
      <c r="D41" s="408"/>
      <c r="E41" s="137"/>
      <c r="F41" s="138"/>
      <c r="G41" s="138"/>
      <c r="H41" s="138"/>
      <c r="I41" s="139"/>
    </row>
    <row r="42" spans="1:9" ht="31.5" x14ac:dyDescent="0.25">
      <c r="A42" s="3">
        <f>1</f>
        <v>1</v>
      </c>
      <c r="B42" s="41" t="s">
        <v>119</v>
      </c>
      <c r="C42" s="26">
        <v>460</v>
      </c>
      <c r="D42" s="57" t="s">
        <v>23</v>
      </c>
      <c r="E42" s="132"/>
      <c r="F42" s="132"/>
      <c r="G42" s="132"/>
      <c r="H42" s="132"/>
      <c r="I42" s="132"/>
    </row>
    <row r="43" spans="1:9" ht="51" customHeight="1" x14ac:dyDescent="0.25">
      <c r="A43" s="3">
        <f>A42+1</f>
        <v>2</v>
      </c>
      <c r="B43" s="37" t="s">
        <v>107</v>
      </c>
      <c r="C43" s="26">
        <v>10600</v>
      </c>
      <c r="D43" s="57" t="s">
        <v>112</v>
      </c>
      <c r="E43" s="117"/>
      <c r="F43" s="117"/>
      <c r="G43" s="117"/>
      <c r="H43" s="117"/>
      <c r="I43" s="117"/>
    </row>
    <row r="44" spans="1:9" ht="19.5" thickBot="1" x14ac:dyDescent="0.3">
      <c r="A44" s="3">
        <f>A43+1</f>
        <v>3</v>
      </c>
      <c r="B44" s="40" t="s">
        <v>118</v>
      </c>
      <c r="C44" s="26">
        <v>5700</v>
      </c>
      <c r="D44" s="57" t="s">
        <v>112</v>
      </c>
      <c r="E44" s="159"/>
      <c r="F44" s="159"/>
      <c r="G44" s="159"/>
      <c r="H44" s="159"/>
      <c r="I44" s="159"/>
    </row>
    <row r="45" spans="1:9" ht="16.5" thickBot="1" x14ac:dyDescent="0.3">
      <c r="A45" s="377" t="s">
        <v>3</v>
      </c>
      <c r="B45" s="378"/>
      <c r="C45" s="378"/>
      <c r="D45" s="379"/>
      <c r="E45" s="137"/>
      <c r="F45" s="138"/>
      <c r="G45" s="138"/>
      <c r="H45" s="138"/>
      <c r="I45" s="139"/>
    </row>
    <row r="46" spans="1:9" ht="47.25" x14ac:dyDescent="0.25">
      <c r="A46" s="3">
        <v>1</v>
      </c>
      <c r="B46" s="43" t="s">
        <v>148</v>
      </c>
      <c r="C46" s="44">
        <v>141</v>
      </c>
      <c r="D46" s="37" t="s">
        <v>24</v>
      </c>
      <c r="E46" s="132"/>
      <c r="F46" s="132"/>
      <c r="G46" s="132"/>
      <c r="H46" s="132"/>
      <c r="I46" s="132"/>
    </row>
    <row r="47" spans="1:9" ht="31.5" x14ac:dyDescent="0.25">
      <c r="A47" s="5">
        <f>A46+1</f>
        <v>2</v>
      </c>
      <c r="B47" s="41" t="s">
        <v>121</v>
      </c>
      <c r="C47" s="39">
        <v>98</v>
      </c>
      <c r="D47" s="57" t="s">
        <v>112</v>
      </c>
      <c r="E47" s="117"/>
      <c r="F47" s="117"/>
      <c r="G47" s="117"/>
      <c r="H47" s="117"/>
      <c r="I47" s="117"/>
    </row>
    <row r="48" spans="1:9" ht="31.5" x14ac:dyDescent="0.25">
      <c r="A48" s="5">
        <f>A47+1</f>
        <v>3</v>
      </c>
      <c r="B48" s="41" t="s">
        <v>122</v>
      </c>
      <c r="C48" s="39">
        <v>440</v>
      </c>
      <c r="D48" s="57" t="s">
        <v>112</v>
      </c>
      <c r="E48" s="117"/>
      <c r="F48" s="117"/>
      <c r="G48" s="117"/>
      <c r="H48" s="117"/>
      <c r="I48" s="117"/>
    </row>
    <row r="49" spans="1:9" ht="47.25" x14ac:dyDescent="0.25">
      <c r="A49" s="5">
        <f>A48+1</f>
        <v>4</v>
      </c>
      <c r="B49" s="41" t="s">
        <v>123</v>
      </c>
      <c r="C49" s="39">
        <v>695</v>
      </c>
      <c r="D49" s="57" t="s">
        <v>112</v>
      </c>
      <c r="E49" s="117"/>
      <c r="F49" s="117"/>
      <c r="G49" s="117"/>
      <c r="H49" s="117"/>
      <c r="I49" s="117"/>
    </row>
    <row r="50" spans="1:9" ht="31.5" x14ac:dyDescent="0.25">
      <c r="A50" s="5">
        <f t="shared" ref="A50:A66" si="2">A49+1</f>
        <v>5</v>
      </c>
      <c r="B50" s="41" t="s">
        <v>124</v>
      </c>
      <c r="C50" s="39">
        <v>75</v>
      </c>
      <c r="D50" s="57" t="s">
        <v>112</v>
      </c>
      <c r="E50" s="117"/>
      <c r="F50" s="117"/>
      <c r="G50" s="117"/>
      <c r="H50" s="117"/>
      <c r="I50" s="117"/>
    </row>
    <row r="51" spans="1:9" ht="18.75" x14ac:dyDescent="0.25">
      <c r="A51" s="5">
        <f t="shared" si="2"/>
        <v>6</v>
      </c>
      <c r="B51" s="41" t="s">
        <v>125</v>
      </c>
      <c r="C51" s="39">
        <v>225</v>
      </c>
      <c r="D51" s="57" t="s">
        <v>114</v>
      </c>
      <c r="E51" s="117"/>
      <c r="F51" s="117"/>
      <c r="G51" s="117"/>
      <c r="H51" s="117"/>
      <c r="I51" s="117"/>
    </row>
    <row r="52" spans="1:9" ht="18.75" x14ac:dyDescent="0.25">
      <c r="A52" s="3">
        <f t="shared" si="2"/>
        <v>7</v>
      </c>
      <c r="B52" s="41" t="s">
        <v>126</v>
      </c>
      <c r="C52" s="39">
        <v>385</v>
      </c>
      <c r="D52" s="57" t="s">
        <v>114</v>
      </c>
      <c r="E52" s="117"/>
      <c r="F52" s="117"/>
      <c r="G52" s="117"/>
      <c r="H52" s="117"/>
      <c r="I52" s="117"/>
    </row>
    <row r="53" spans="1:9" ht="47.25" x14ac:dyDescent="0.25">
      <c r="A53" s="3">
        <f t="shared" si="2"/>
        <v>8</v>
      </c>
      <c r="B53" s="41" t="s">
        <v>127</v>
      </c>
      <c r="C53" s="39">
        <v>50</v>
      </c>
      <c r="D53" s="57" t="s">
        <v>112</v>
      </c>
      <c r="E53" s="117"/>
      <c r="F53" s="117"/>
      <c r="G53" s="117"/>
      <c r="H53" s="117"/>
      <c r="I53" s="117"/>
    </row>
    <row r="54" spans="1:9" ht="31.5" x14ac:dyDescent="0.25">
      <c r="A54" s="3">
        <f t="shared" si="2"/>
        <v>9</v>
      </c>
      <c r="B54" s="41" t="s">
        <v>128</v>
      </c>
      <c r="C54" s="39">
        <v>5</v>
      </c>
      <c r="D54" s="57" t="s">
        <v>112</v>
      </c>
      <c r="E54" s="117"/>
      <c r="F54" s="117"/>
      <c r="G54" s="117"/>
      <c r="H54" s="117"/>
      <c r="I54" s="117"/>
    </row>
    <row r="55" spans="1:9" ht="31.5" x14ac:dyDescent="0.25">
      <c r="A55" s="3">
        <f t="shared" si="2"/>
        <v>10</v>
      </c>
      <c r="B55" s="41" t="s">
        <v>129</v>
      </c>
      <c r="C55" s="39">
        <v>52</v>
      </c>
      <c r="D55" s="57" t="s">
        <v>112</v>
      </c>
      <c r="E55" s="117"/>
      <c r="F55" s="117"/>
      <c r="G55" s="117"/>
      <c r="H55" s="117"/>
      <c r="I55" s="117"/>
    </row>
    <row r="56" spans="1:9" ht="31.5" x14ac:dyDescent="0.25">
      <c r="A56" s="3">
        <f t="shared" si="2"/>
        <v>11</v>
      </c>
      <c r="B56" s="41" t="s">
        <v>130</v>
      </c>
      <c r="C56" s="39">
        <v>69</v>
      </c>
      <c r="D56" s="57" t="s">
        <v>112</v>
      </c>
      <c r="E56" s="117"/>
      <c r="F56" s="117"/>
      <c r="G56" s="117"/>
      <c r="H56" s="117"/>
      <c r="I56" s="117"/>
    </row>
    <row r="57" spans="1:9" ht="47.25" x14ac:dyDescent="0.25">
      <c r="A57" s="3">
        <f t="shared" si="2"/>
        <v>12</v>
      </c>
      <c r="B57" s="41" t="s">
        <v>131</v>
      </c>
      <c r="C57" s="39">
        <v>4</v>
      </c>
      <c r="D57" s="57" t="s">
        <v>24</v>
      </c>
      <c r="E57" s="117"/>
      <c r="F57" s="117"/>
      <c r="G57" s="117"/>
      <c r="H57" s="117"/>
      <c r="I57" s="117"/>
    </row>
    <row r="58" spans="1:9" ht="31.5" x14ac:dyDescent="0.25">
      <c r="A58" s="3">
        <f t="shared" si="2"/>
        <v>13</v>
      </c>
      <c r="B58" s="41" t="s">
        <v>132</v>
      </c>
      <c r="C58" s="39">
        <v>3</v>
      </c>
      <c r="D58" s="57" t="s">
        <v>112</v>
      </c>
      <c r="E58" s="117"/>
      <c r="F58" s="117"/>
      <c r="G58" s="117"/>
      <c r="H58" s="117"/>
      <c r="I58" s="117"/>
    </row>
    <row r="59" spans="1:9" ht="31.5" x14ac:dyDescent="0.25">
      <c r="A59" s="3">
        <f t="shared" si="2"/>
        <v>14</v>
      </c>
      <c r="B59" s="41" t="s">
        <v>133</v>
      </c>
      <c r="C59" s="39">
        <v>1.5</v>
      </c>
      <c r="D59" s="57" t="s">
        <v>112</v>
      </c>
      <c r="E59" s="117"/>
      <c r="F59" s="117"/>
      <c r="G59" s="117"/>
      <c r="H59" s="117"/>
      <c r="I59" s="117"/>
    </row>
    <row r="60" spans="1:9" ht="47.25" x14ac:dyDescent="0.25">
      <c r="A60" s="3">
        <f t="shared" si="2"/>
        <v>15</v>
      </c>
      <c r="B60" s="42" t="s">
        <v>134</v>
      </c>
      <c r="C60" s="39">
        <v>0.6</v>
      </c>
      <c r="D60" s="57" t="s">
        <v>112</v>
      </c>
      <c r="E60" s="117"/>
      <c r="F60" s="117"/>
      <c r="G60" s="117"/>
      <c r="H60" s="117"/>
      <c r="I60" s="117"/>
    </row>
    <row r="61" spans="1:9" ht="31.5" x14ac:dyDescent="0.25">
      <c r="A61" s="3">
        <f t="shared" si="2"/>
        <v>16</v>
      </c>
      <c r="B61" s="45" t="s">
        <v>135</v>
      </c>
      <c r="C61" s="39">
        <v>10</v>
      </c>
      <c r="D61" s="57" t="s">
        <v>112</v>
      </c>
      <c r="E61" s="117"/>
      <c r="F61" s="117"/>
      <c r="G61" s="117"/>
      <c r="H61" s="117"/>
      <c r="I61" s="117"/>
    </row>
    <row r="62" spans="1:9" ht="15.75" x14ac:dyDescent="0.25">
      <c r="A62" s="5">
        <f t="shared" si="2"/>
        <v>17</v>
      </c>
      <c r="B62" s="45" t="s">
        <v>136</v>
      </c>
      <c r="C62" s="39">
        <v>240</v>
      </c>
      <c r="D62" s="57" t="s">
        <v>8</v>
      </c>
      <c r="E62" s="117"/>
      <c r="F62" s="117"/>
      <c r="G62" s="117"/>
      <c r="H62" s="117"/>
      <c r="I62" s="117"/>
    </row>
    <row r="63" spans="1:9" ht="18.75" x14ac:dyDescent="0.25">
      <c r="A63" s="5">
        <f t="shared" si="2"/>
        <v>18</v>
      </c>
      <c r="B63" s="45" t="s">
        <v>144</v>
      </c>
      <c r="C63" s="39">
        <v>3410</v>
      </c>
      <c r="D63" s="57" t="s">
        <v>114</v>
      </c>
      <c r="E63" s="117"/>
      <c r="F63" s="117"/>
      <c r="G63" s="117"/>
      <c r="H63" s="117"/>
      <c r="I63" s="117"/>
    </row>
    <row r="64" spans="1:9" ht="18.75" x14ac:dyDescent="0.25">
      <c r="A64" s="5">
        <f t="shared" si="2"/>
        <v>19</v>
      </c>
      <c r="B64" s="45" t="s">
        <v>145</v>
      </c>
      <c r="C64" s="39">
        <v>400</v>
      </c>
      <c r="D64" s="57" t="s">
        <v>114</v>
      </c>
      <c r="E64" s="117"/>
      <c r="F64" s="117"/>
      <c r="G64" s="117"/>
      <c r="H64" s="117"/>
      <c r="I64" s="117"/>
    </row>
    <row r="65" spans="1:9" ht="18.75" x14ac:dyDescent="0.25">
      <c r="A65" s="5">
        <f t="shared" si="2"/>
        <v>20</v>
      </c>
      <c r="B65" s="45" t="s">
        <v>146</v>
      </c>
      <c r="C65" s="39">
        <v>150</v>
      </c>
      <c r="D65" s="57" t="s">
        <v>114</v>
      </c>
      <c r="E65" s="117"/>
      <c r="F65" s="117"/>
      <c r="G65" s="117"/>
      <c r="H65" s="117"/>
      <c r="I65" s="117"/>
    </row>
    <row r="66" spans="1:9" ht="19.5" thickBot="1" x14ac:dyDescent="0.3">
      <c r="A66" s="3">
        <f t="shared" si="2"/>
        <v>21</v>
      </c>
      <c r="B66" s="45" t="s">
        <v>147</v>
      </c>
      <c r="C66" s="39">
        <v>155</v>
      </c>
      <c r="D66" s="57" t="s">
        <v>114</v>
      </c>
      <c r="E66" s="159"/>
      <c r="F66" s="159"/>
      <c r="G66" s="159"/>
      <c r="H66" s="159"/>
      <c r="I66" s="159"/>
    </row>
    <row r="67" spans="1:9" ht="16.5" thickBot="1" x14ac:dyDescent="0.3">
      <c r="A67" s="377" t="s">
        <v>137</v>
      </c>
      <c r="B67" s="378"/>
      <c r="C67" s="378"/>
      <c r="D67" s="379"/>
      <c r="E67" s="137"/>
      <c r="F67" s="138"/>
      <c r="G67" s="138"/>
      <c r="H67" s="138"/>
      <c r="I67" s="139"/>
    </row>
    <row r="68" spans="1:9" ht="47.25" x14ac:dyDescent="0.25">
      <c r="A68" s="3">
        <v>1</v>
      </c>
      <c r="B68" s="46" t="s">
        <v>138</v>
      </c>
      <c r="C68" s="111">
        <v>2.85</v>
      </c>
      <c r="D68" s="37" t="s">
        <v>8</v>
      </c>
      <c r="E68" s="132"/>
      <c r="F68" s="132"/>
      <c r="G68" s="132"/>
      <c r="H68" s="132"/>
      <c r="I68" s="132"/>
    </row>
    <row r="69" spans="1:9" ht="31.5" x14ac:dyDescent="0.25">
      <c r="A69" s="3">
        <f t="shared" ref="A69:A74" si="3">A68+1</f>
        <v>2</v>
      </c>
      <c r="B69" s="45" t="s">
        <v>139</v>
      </c>
      <c r="C69" s="84">
        <v>3.77</v>
      </c>
      <c r="D69" s="57" t="s">
        <v>8</v>
      </c>
      <c r="E69" s="117"/>
      <c r="F69" s="117"/>
      <c r="G69" s="117"/>
      <c r="H69" s="117"/>
      <c r="I69" s="117"/>
    </row>
    <row r="70" spans="1:9" ht="47.25" x14ac:dyDescent="0.25">
      <c r="A70" s="3">
        <f t="shared" si="3"/>
        <v>3</v>
      </c>
      <c r="B70" s="42" t="s">
        <v>140</v>
      </c>
      <c r="C70" s="39">
        <v>1</v>
      </c>
      <c r="D70" s="57" t="s">
        <v>24</v>
      </c>
      <c r="E70" s="117"/>
      <c r="F70" s="117"/>
      <c r="G70" s="117"/>
      <c r="H70" s="117"/>
      <c r="I70" s="117"/>
    </row>
    <row r="71" spans="1:9" ht="47.25" x14ac:dyDescent="0.25">
      <c r="A71" s="3">
        <f t="shared" si="3"/>
        <v>4</v>
      </c>
      <c r="B71" s="45" t="s">
        <v>141</v>
      </c>
      <c r="C71" s="39">
        <v>1</v>
      </c>
      <c r="D71" s="57" t="s">
        <v>24</v>
      </c>
      <c r="E71" s="117"/>
      <c r="F71" s="117"/>
      <c r="G71" s="117"/>
      <c r="H71" s="117"/>
      <c r="I71" s="117"/>
    </row>
    <row r="72" spans="1:9" ht="47.25" x14ac:dyDescent="0.25">
      <c r="A72" s="3">
        <f t="shared" si="3"/>
        <v>5</v>
      </c>
      <c r="B72" s="42" t="s">
        <v>142</v>
      </c>
      <c r="C72" s="39">
        <v>1</v>
      </c>
      <c r="D72" s="57" t="s">
        <v>24</v>
      </c>
      <c r="E72" s="117"/>
      <c r="F72" s="117"/>
      <c r="G72" s="117"/>
      <c r="H72" s="117"/>
      <c r="I72" s="117"/>
    </row>
    <row r="73" spans="1:9" ht="47.25" x14ac:dyDescent="0.25">
      <c r="A73" s="3">
        <f t="shared" si="3"/>
        <v>6</v>
      </c>
      <c r="B73" s="42" t="s">
        <v>149</v>
      </c>
      <c r="C73" s="39">
        <v>1</v>
      </c>
      <c r="D73" s="57" t="s">
        <v>24</v>
      </c>
      <c r="E73" s="117"/>
      <c r="F73" s="117"/>
      <c r="G73" s="117"/>
      <c r="H73" s="117"/>
      <c r="I73" s="117"/>
    </row>
    <row r="74" spans="1:9" ht="31.5" x14ac:dyDescent="0.25">
      <c r="A74" s="5">
        <f t="shared" si="3"/>
        <v>7</v>
      </c>
      <c r="B74" s="45" t="s">
        <v>477</v>
      </c>
      <c r="C74" s="39">
        <f>11*3</f>
        <v>33</v>
      </c>
      <c r="D74" s="57" t="s">
        <v>24</v>
      </c>
      <c r="E74" s="117"/>
      <c r="F74" s="117"/>
      <c r="G74" s="117"/>
      <c r="H74" s="117"/>
      <c r="I74" s="117"/>
    </row>
  </sheetData>
  <mergeCells count="16">
    <mergeCell ref="A45:D45"/>
    <mergeCell ref="A67:D67"/>
    <mergeCell ref="A5:D5"/>
    <mergeCell ref="A6:D6"/>
    <mergeCell ref="A10:D10"/>
    <mergeCell ref="A32:D32"/>
    <mergeCell ref="A40:D40"/>
    <mergeCell ref="A41:D41"/>
    <mergeCell ref="E1:F1"/>
    <mergeCell ref="G1:I1"/>
    <mergeCell ref="A3:D3"/>
    <mergeCell ref="A4:D4"/>
    <mergeCell ref="A1:A2"/>
    <mergeCell ref="B1:B2"/>
    <mergeCell ref="C1:C2"/>
    <mergeCell ref="D1:D2"/>
  </mergeCells>
  <pageMargins left="0.70866141732283472" right="0.70866141732283472" top="0.79166666666666663" bottom="0.74803149606299213" header="0.31496062992125984" footer="0.31496062992125984"/>
  <pageSetup paperSize="309" orientation="landscape" horizontalDpi="300" verticalDpi="300" r:id="rId1"/>
  <headerFooter>
    <oddHeader>&amp;C&amp;"Times New Roman,Normál"&amp;9 1.4. Kikötők&amp;R&amp;"Times New Roman,Normál"&amp;9Mennyiségi kiírás (IV. kötet)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30</vt:i4>
      </vt:variant>
      <vt:variant>
        <vt:lpstr>Névvel ellátott tartományok</vt:lpstr>
      </vt:variant>
      <vt:variant>
        <vt:i4>1</vt:i4>
      </vt:variant>
    </vt:vector>
  </HeadingPairs>
  <TitlesOfParts>
    <vt:vector size="31" baseType="lpstr">
      <vt:lpstr>Ált. Tájékoztató</vt:lpstr>
      <vt:lpstr>Főösszesítő</vt:lpstr>
      <vt:lpstr>1.1.1.</vt:lpstr>
      <vt:lpstr>1.1.2.</vt:lpstr>
      <vt:lpstr>1.1.3.</vt:lpstr>
      <vt:lpstr>1.2.1.</vt:lpstr>
      <vt:lpstr>1.2.2.</vt:lpstr>
      <vt:lpstr>1.3.</vt:lpstr>
      <vt:lpstr>1.4.</vt:lpstr>
      <vt:lpstr>2.1.</vt:lpstr>
      <vt:lpstr>2.2.</vt:lpstr>
      <vt:lpstr>3.1.1.</vt:lpstr>
      <vt:lpstr>3.1.2.</vt:lpstr>
      <vt:lpstr>3.1.3.</vt:lpstr>
      <vt:lpstr>3.1.4.</vt:lpstr>
      <vt:lpstr>3.2.</vt:lpstr>
      <vt:lpstr>3.3.</vt:lpstr>
      <vt:lpstr>3.4.</vt:lpstr>
      <vt:lpstr>3.5.</vt:lpstr>
      <vt:lpstr>3.6.</vt:lpstr>
      <vt:lpstr>4.1.</vt:lpstr>
      <vt:lpstr>4.2.</vt:lpstr>
      <vt:lpstr>4.3.</vt:lpstr>
      <vt:lpstr>4.4.</vt:lpstr>
      <vt:lpstr>5.1.</vt:lpstr>
      <vt:lpstr>5.2.</vt:lpstr>
      <vt:lpstr>6.</vt:lpstr>
      <vt:lpstr>7.1.</vt:lpstr>
      <vt:lpstr>7.2.</vt:lpstr>
      <vt:lpstr>8.</vt:lpstr>
      <vt:lpstr>'Ált. Tájékoztató'!Nyomtatási_terület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Kerecsanin Milán</dc:creator>
  <cp:lastModifiedBy>Sebestyén Zoltán</cp:lastModifiedBy>
  <cp:lastPrinted>2017-03-22T14:48:25Z</cp:lastPrinted>
  <dcterms:created xsi:type="dcterms:W3CDTF">2016-11-09T08:28:01Z</dcterms:created>
  <dcterms:modified xsi:type="dcterms:W3CDTF">2017-03-22T14:48:59Z</dcterms:modified>
</cp:coreProperties>
</file>